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Inputs" sheetId="2" state="visible" r:id="rId4"/>
    <sheet name="Schedule" sheetId="3" state="visible" r:id="rId5"/>
    <sheet name="Tax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<sst xmlns="http://schemas.openxmlformats.org/spreadsheetml/2006/main" count="82" uniqueCount="66">
  <si>
    <t xml:space="preserve">Share-based payment schedule</t>
  </si>
  <si>
    <t xml:space="preserve">IFRS 2 and ASC 718: the cost of an award year by year, under the graded and straight-line methods, with the tax at vesting</t>
  </si>
  <si>
    <t xml:space="preserve">HOW IT WORKS</t>
  </si>
  <si>
    <t xml:space="preserve">Describe the award</t>
  </si>
  <si>
    <t xml:space="preserve">Set expected leavers</t>
  </si>
  <si>
    <t xml:space="preserve">Read the schedule</t>
  </si>
  <si>
    <t xml:space="preserve">Units, fair value, vesting</t>
  </si>
  <si>
    <t xml:space="preserve">Forfeiture rate</t>
  </si>
  <si>
    <t xml:space="preserve">Cost each year, both methods</t>
  </si>
  <si>
    <t xml:space="preserve">LIVE RESULTS</t>
  </si>
  <si>
    <t xml:space="preserve">Year 1 cost, graded</t>
  </si>
  <si>
    <t xml:space="preserve">Year 1 cost, straight-line</t>
  </si>
  <si>
    <t xml:space="preserve">Total cost</t>
  </si>
  <si>
    <t xml:space="preserve">Check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</si>
  <si>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</si>
  <si>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</si>
  <si>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</si>
  <si>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</si>
  <si>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</si>
  <si>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</si>
  <si>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Inputs  ›</t>
  </si>
  <si>
    <t xml:space="preserve">Schedule  ›</t>
  </si>
  <si>
    <t xml:space="preserve">Tax  ›</t>
  </si>
  <si>
    <t xml:space="preserve">Example: the RSU grant from the ASC 718 guide, fictional. Replace the figures with your own. General information, not advice. taxbakers.com/us-gaap/asc-718-stock-compensation/</t>
  </si>
  <si>
    <t xml:space="preserve">Inputs</t>
  </si>
  <si>
    <t xml:space="preserve">The award: units, fair value at the grant date, when it vests, and expected leavers.</t>
  </si>
  <si>
    <t xml:space="preserve">Units granted (options or restricted stock units)</t>
  </si>
  <si>
    <t xml:space="preserve">Fair value of one unit at the grant date</t>
  </si>
  <si>
    <t xml:space="preserve">Expected leavers each year (forfeiture rate)</t>
  </si>
  <si>
    <t xml:space="preserve">Income tax rate</t>
  </si>
  <si>
    <t xml:space="preserve">Vesting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</si>
  <si>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</si>
  <si>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</si>
  <si>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</si>
  <si>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</si>
  <si>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</si>
  <si>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Share of the award vesting at the end of each year</t>
  </si>
  <si>
    <t xml:space="preserve">Share price on the vesting date</t>
  </si>
  <si>
    <t xml:space="preserve">Total vesting</t>
  </si>
  <si>
    <t xml:space="preserve">Enter 100% in the last year for cliff vesting, or a share in each year for graded vesting. Leavers reduce the units expected to vest: IFRS 2 requires an estimate, revised each year; under ASC 718 a company may instead account for forfeitures as they occur, which here means entering 0%. The tranche figures assume each tranche is a separate award, the graded method.</t>
  </si>
  <si>
    <t xml:space="preserve">Schedule</t>
  </si>
  <si>
    <t xml:space="preserve">Cost recognised each year under the graded method (IFRS 2, and an option under ASC 718) and the straight-line method (an option under ASC 718).</t>
  </si>
  <si>
    <t xml:space="preserve">Tranche vesting at the end of</t>
  </si>
  <si>
    <t xml:space="preserve">Expected cost of the tranche</t>
  </si>
  <si>
    <t xml:space="preserve">Graded method: cost for the year</t>
  </si>
  <si>
    <t xml:space="preserve">Last vesting year</t>
  </si>
  <si>
    <t xml:space="preserve">Cumulative value vested by the year end</t>
  </si>
  <si>
    <t xml:space="preserve">Straight-line: cumulative cost before the floor</t>
  </si>
  <si>
    <t xml:space="preserve">Straight-line: cumulative cost, at least the value vested</t>
  </si>
  <si>
    <t xml:space="preserve">Straight-line method: cost for the year</t>
  </si>
  <si>
    <t xml:space="preserve">Both methods recognise the same total</t>
  </si>
  <si>
    <t xml:space="preserve">Each year the entry is: debit compensation expense, credit equity (additional paid-in capital). The graded method front-loads the cost because each tranche is spread only over its own vesting period. ASC 718 allows straight-line attribution for awards with only a service condition, as long as the cumulative cost is at least the value already vested.</t>
  </si>
  <si>
    <t xml:space="preserve">Tax</t>
  </si>
  <si>
    <t xml:space="preserve">The tax deduction at vesting against the cost recognised: where the difference goes under each framework.</t>
  </si>
  <si>
    <t xml:space="preserve">Units vesting</t>
  </si>
  <si>
    <t xml:space="preserve">Tax deduction: units x share price at vesting</t>
  </si>
  <si>
    <t xml:space="preserve">Cost recognised for the tranche</t>
  </si>
  <si>
    <t xml:space="preserve">Excess (shortfall) of the deduction</t>
  </si>
  <si>
    <t xml:space="preserve">Excess tax benefit (shortfall) at the tax rate</t>
  </si>
  <si>
    <t xml:space="preserve">Total excess tax benefit</t>
  </si>
  <si>
    <t xml:space="preserve">Where it goes</t>
  </si>
  <si>
    <t xml:space="preserve">Excess tax benefit</t>
  </si>
  <si>
    <t xml:space="preserve">US GAAP (ASC 718): all of it in income tax expense</t>
  </si>
  <si>
    <t xml:space="preserve">IFRS (IAS 12): excesses directly in equity</t>
  </si>
  <si>
    <t xml:space="preserve">IFRS (IAS 12): shortfalls in profit or loss</t>
  </si>
  <si>
    <t xml:space="preserve">Under US GAAP every excess benefit or shortfall goes through income tax expense, so the effective tax rate moves with the share price. Under IFRS, the tax effect of a deduction above the cumulative cost is recognised in equity, and a shortfall in profit or loss. The deferred tax asset recognised along the way is ignored here for simplicity.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</si>
</sst>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;\(#,##0\);\-"/>
    <numFmt numFmtId="167" formatCode="#,##0.00;\(#,##0.00\);\-"/>
    <numFmt numFmtId="168" formatCode="0.0%;\(0.0%\);;"/>
    <numFmt numFmtId="169" formatCode="0%"/>
    <numFmt numFmtId="170" formatCode="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sz val="10"/>
      <color rgb="FF0E3D4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6B7A8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6" fontId="23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2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Cost each year: graded and straight-line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Schedule!B13</c:f>
              <c:strCache>
                <c:ptCount val="1"/>
                <c:pt idx="0">
                  <c:v>Graded method: cost for the year</c:v>
                </c:pt>
              </c:strCache>
            </c:strRef>
          </c:tx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Schedule!$C$7:$G$7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Schedule!$C$13:$G$13</c:f>
              <c:numCache>
                <c:formatCode>#,##0;\(#,##0\);\-</c:formatCode>
                <c:ptCount val="5"/>
                <c:pt idx="0">
                  <c:v>208333.333333333</c:v>
                </c:pt>
                <c:pt idx="1">
                  <c:v>108333.333333333</c:v>
                </c:pt>
                <c:pt idx="2">
                  <c:v>58333.3333333333</c:v>
                </c:pt>
                <c:pt idx="3">
                  <c:v>25000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Schedule!B19</c:f>
              <c:strCache>
                <c:ptCount val="1"/>
                <c:pt idx="0">
                  <c:v>Straight-line method: cost for the year</c:v>
                </c:pt>
              </c:strCache>
            </c:strRef>
          </c:tx>
          <c:spPr>
            <a:solidFill>
              <a:srgbClr val="86bc25"/>
            </a:solidFill>
            <a:ln w="0">
              <a:solidFill>
                <a:srgbClr val="86bc25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Schedule!$C$7:$G$7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Schedule!$C$19:$G$19</c:f>
              <c:numCache>
                <c:formatCode>#,##0;\(#,##0\);\-</c:formatCode>
                <c:ptCount val="5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0</c:v>
                </c:pt>
              </c:numCache>
            </c:numRef>
          </c:val>
        </c:ser>
        <c:gapWidth val="60"/>
        <c:overlap val="0"/>
        <c:axId val="35021941"/>
        <c:axId val="1206826"/>
      </c:barChart>
      <c:catAx>
        <c:axId val="350219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06826"/>
        <c:crosses val="autoZero"/>
        <c:auto val="1"/>
        <c:lblAlgn val="ctr"/>
        <c:lblOffset val="100"/>
        <c:noMultiLvlLbl val="0"/>
      </c:catAx>
      <c:valAx>
        <c:axId val="1206826"/>
        <c:scaling>
          <c:orientation val="minMax"/>
        </c:scaling>
        <c:delete val="1"/>
        <c:axPos val="l"/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021941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23</xdr:row>
      <xdr:rowOff>0</xdr:rowOff>
    </xdr:from>
    <xdr:to>
      <xdr:col>8</xdr:col>
      <xdr:colOff>443160</xdr:colOff>
      <xdr:row>34</xdr:row>
      <xdr:rowOff>185040</xdr:rowOff>
    </xdr:to>
    <xdr:graphicFrame>
      <xdr:nvGraphicFramePr>
        <xdr:cNvPr id="0" name="Chart 1"/>
        <xdr:cNvGraphicFramePr/>
      </xdr:nvGraphicFramePr>
      <xdr:xfrm>
        <a:off x="176400" y="567684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Schedule!C13</f>
        <v>208333.333333333</v>
      </c>
      <c r="C15" s="10"/>
      <c r="D15" s="10"/>
      <c r="E15" s="10" t="n">
        <f aca="false">Schedule!C19</f>
        <v>100000</v>
      </c>
      <c r="F15" s="10"/>
      <c r="G15" s="10"/>
      <c r="H15" s="10" t="n">
        <f aca="false">Schedule!H13</f>
        <v>400000</v>
      </c>
      <c r="I15" s="10"/>
      <c r="J15" s="10"/>
      <c r="K15" s="11" t="str">
        <f aca="false">IF(AND(LEFT(Inputs!D15,1)="✓",LEFT(Schedule!H21,1)="✓"),"✓ All checks pass","✗ See the checks")</f>
        <v>✓ All checks pass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  <c r="H22" s="16" t="s">
        <v>22</v>
      </c>
      <c r="I22" s="16"/>
      <c r="J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23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1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Inputs'!B2" display="Inputs  ›"/>
    <hyperlink ref="E22" location="'Schedule'!B2" display="Schedule  ›"/>
    <hyperlink ref="H22" location="'Tax'!B2" display="Tax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0"/>
    <col collapsed="false" customWidth="true" hidden="false" outlineLevel="0" max="3" min="3" style="0" width="16"/>
    <col collapsed="false" customWidth="true" hidden="false" outlineLevel="0" max="7" min="4" style="0" width="14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24</v>
      </c>
      <c r="C2" s="18"/>
      <c r="D2" s="18"/>
      <c r="E2" s="18"/>
      <c r="F2" s="18"/>
      <c r="G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</row>
    <row r="4" customFormat="false" ht="19.5" hidden="false" customHeight="true" outlineLevel="0" collapsed="false">
      <c r="B4" s="19" t="s">
        <v>25</v>
      </c>
      <c r="C4" s="19"/>
      <c r="D4" s="19"/>
      <c r="E4" s="19"/>
      <c r="F4" s="19"/>
      <c r="G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</row>
    <row r="6" customFormat="false" ht="18" hidden="false" customHeight="false" outlineLevel="0" collapsed="false"/>
    <row r="7" customFormat="false" ht="18" hidden="false" customHeight="false" outlineLevel="0" collapsed="false">
      <c r="B7" s="20" t="s">
        <v>26</v>
      </c>
      <c r="C7" s="21" t="n">
        <v>10000</v>
      </c>
    </row>
    <row r="8" customFormat="false" ht="18" hidden="false" customHeight="false" outlineLevel="0" collapsed="false">
      <c r="B8" s="20" t="s">
        <v>27</v>
      </c>
      <c r="C8" s="22" t="n">
        <v>40</v>
      </c>
    </row>
    <row r="9" customFormat="false" ht="18" hidden="false" customHeight="false" outlineLevel="0" collapsed="false">
      <c r="B9" s="20" t="s">
        <v>28</v>
      </c>
      <c r="C9" s="23" t="n">
        <v>0</v>
      </c>
    </row>
    <row r="10" customFormat="false" ht="18" hidden="false" customHeight="false" outlineLevel="0" collapsed="false">
      <c r="B10" s="20" t="s">
        <v>29</v>
      </c>
      <c r="C10" s="23" t="n">
        <v>0.21</v>
      </c>
    </row>
    <row r="11" customFormat="false" ht="18" hidden="false" customHeight="false" outlineLevel="0" collapsed="false"/>
    <row r="12" customFormat="false" ht="33.75" hidden="false" customHeight="true" outlineLevel="0" collapsed="false">
      <c r="B12" s="24" t="s">
        <v>30</v>
      </c>
      <c r="C12" s="25" t="s">
        <v>31</v>
      </c>
      <c r="D12" s="25" t="s">
        <v>32</v>
      </c>
      <c r="E12" s="25" t="s">
        <v>33</v>
      </c>
      <c r="F12" s="25" t="s">
        <v>34</v>
      </c>
      <c r="G12" s="25" t="s">
        <v>35</v>
      </c>
    </row>
    <row r="13" customFormat="false" ht="18" hidden="false" customHeight="false" outlineLevel="0" collapsed="false">
      <c r="B13" s="26" t="s">
        <v>36</v>
      </c>
      <c r="C13" s="27" t="n">
        <v>0.25</v>
      </c>
      <c r="D13" s="27" t="n">
        <v>0.25</v>
      </c>
      <c r="E13" s="27" t="n">
        <v>0.25</v>
      </c>
      <c r="F13" s="27" t="n">
        <v>0.25</v>
      </c>
      <c r="G13" s="27" t="n">
        <v>0</v>
      </c>
    </row>
    <row r="14" customFormat="false" ht="18" hidden="false" customHeight="false" outlineLevel="0" collapsed="false">
      <c r="B14" s="26" t="s">
        <v>37</v>
      </c>
      <c r="C14" s="22" t="n">
        <v>50</v>
      </c>
      <c r="D14" s="22" t="n">
        <v>55</v>
      </c>
      <c r="E14" s="22" t="n">
        <v>45</v>
      </c>
      <c r="F14" s="22" t="n">
        <v>60</v>
      </c>
      <c r="G14" s="22"/>
    </row>
    <row r="15" customFormat="false" ht="18" hidden="false" customHeight="false" outlineLevel="0" collapsed="false">
      <c r="B15" s="28" t="s">
        <v>38</v>
      </c>
      <c r="C15" s="29" t="n">
        <f aca="false">SUM(C13:G13)</f>
        <v>1</v>
      </c>
      <c r="D15" s="30" t="str">
        <f aca="false">IF(ABS(C15-1)&lt;0.0001,"✓ 100%","✗ Must add to 100%")</f>
        <v>✓ 100%</v>
      </c>
      <c r="E15" s="30"/>
    </row>
    <row r="16" customFormat="false" ht="18" hidden="false" customHeight="false" outlineLevel="0" collapsed="false"/>
    <row r="17" customFormat="false" ht="18" hidden="false" customHeight="true" outlineLevel="0" collapsed="false">
      <c r="B17" s="31" t="s">
        <v>39</v>
      </c>
      <c r="C17" s="31"/>
      <c r="D17" s="31"/>
      <c r="E17" s="31"/>
      <c r="F17" s="31"/>
      <c r="G17" s="31"/>
    </row>
    <row r="18" customFormat="false" ht="18" hidden="false" customHeight="false" outlineLevel="0" collapsed="false">
      <c r="B18" s="31"/>
      <c r="C18" s="31"/>
      <c r="D18" s="31"/>
      <c r="E18" s="31"/>
      <c r="F18" s="31"/>
      <c r="G18" s="31"/>
    </row>
    <row r="19" customFormat="false" ht="18" hidden="false" customHeight="false" outlineLevel="0" collapsed="false">
      <c r="B19" s="31"/>
      <c r="C19" s="31"/>
      <c r="D19" s="31"/>
      <c r="E19" s="31"/>
      <c r="F19" s="31"/>
      <c r="G19" s="31"/>
    </row>
    <row r="20" customFormat="false" ht="18" hidden="false" customHeight="false" outlineLevel="0" collapsed="false">
      <c r="B20" s="31"/>
      <c r="C20" s="31"/>
      <c r="D20" s="31"/>
      <c r="E20" s="31"/>
      <c r="F20" s="31"/>
      <c r="G20" s="31"/>
    </row>
  </sheetData>
  <mergeCells count="4">
    <mergeCell ref="B2:G3"/>
    <mergeCell ref="B4:G4"/>
    <mergeCell ref="D15:E15"/>
    <mergeCell ref="B17:G20"/>
  </mergeCells>
  <conditionalFormatting sqref="D15">
    <cfRule type="expression" priority="2" aboveAverage="0" equalAverage="0" bottom="0" percent="0" rank="0" text="" dxfId="0">
      <formula>LEFT(D15,1)="✓"</formula>
    </cfRule>
    <cfRule type="expression" priority="3" aboveAverage="0" equalAverage="0" bottom="0" percent="0" rank="0" text="" dxfId="1">
      <formula>LEFT(D15,1)&lt;&gt;"✓"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4"/>
    <col collapsed="false" customWidth="true" hidden="false" outlineLevel="0" max="7" min="3" style="0" width="14"/>
    <col collapsed="false" customWidth="true" hidden="false" outlineLevel="0" max="8" min="8" style="0" width="15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40</v>
      </c>
      <c r="C2" s="18"/>
      <c r="D2" s="18"/>
      <c r="E2" s="18"/>
      <c r="F2" s="18"/>
      <c r="G2" s="18"/>
      <c r="H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</row>
    <row r="4" customFormat="false" ht="19.5" hidden="false" customHeight="true" outlineLevel="0" collapsed="false">
      <c r="B4" s="19" t="s">
        <v>41</v>
      </c>
      <c r="C4" s="19"/>
      <c r="D4" s="19"/>
      <c r="E4" s="19"/>
      <c r="F4" s="19"/>
      <c r="G4" s="19"/>
      <c r="H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</row>
    <row r="6" customFormat="false" ht="18" hidden="false" customHeight="false" outlineLevel="0" collapsed="false"/>
    <row r="7" customFormat="false" ht="33.75" hidden="false" customHeight="true" outlineLevel="0" collapsed="false">
      <c r="B7" s="24" t="s">
        <v>42</v>
      </c>
      <c r="C7" s="25" t="s">
        <v>31</v>
      </c>
      <c r="D7" s="25" t="s">
        <v>32</v>
      </c>
      <c r="E7" s="25" t="s">
        <v>33</v>
      </c>
      <c r="F7" s="25" t="s">
        <v>34</v>
      </c>
      <c r="G7" s="25" t="s">
        <v>35</v>
      </c>
      <c r="H7" s="25" t="s">
        <v>43</v>
      </c>
    </row>
    <row r="8" customFormat="false" ht="18" hidden="false" customHeight="false" outlineLevel="0" collapsed="false">
      <c r="B8" s="26" t="s">
        <v>31</v>
      </c>
      <c r="C8" s="32" t="n">
        <f aca="false">$H8*(MIN(1,1)-MIN(0,1))/1</f>
        <v>100000</v>
      </c>
      <c r="D8" s="32" t="n">
        <f aca="false">$H8*(MIN(2,1)-MIN(1,1))/1</f>
        <v>0</v>
      </c>
      <c r="E8" s="32" t="n">
        <f aca="false">$H8*(MIN(3,1)-MIN(2,1))/1</f>
        <v>0</v>
      </c>
      <c r="F8" s="32" t="n">
        <f aca="false">$H8*(MIN(4,1)-MIN(3,1))/1</f>
        <v>0</v>
      </c>
      <c r="G8" s="32" t="n">
        <f aca="false">$H8*(MIN(5,1)-MIN(4,1))/1</f>
        <v>0</v>
      </c>
      <c r="H8" s="33" t="n">
        <f aca="false">Inputs!$C$7*INDEX(Inputs!$C$13:$G$13,1)*(1-Inputs!$C$9)^1*Inputs!$C$8</f>
        <v>100000</v>
      </c>
    </row>
    <row r="9" customFormat="false" ht="18" hidden="false" customHeight="false" outlineLevel="0" collapsed="false">
      <c r="B9" s="26" t="s">
        <v>32</v>
      </c>
      <c r="C9" s="32" t="n">
        <f aca="false">$H9*(MIN(1,2)-MIN(0,2))/2</f>
        <v>50000</v>
      </c>
      <c r="D9" s="32" t="n">
        <f aca="false">$H9*(MIN(2,2)-MIN(1,2))/2</f>
        <v>50000</v>
      </c>
      <c r="E9" s="32" t="n">
        <f aca="false">$H9*(MIN(3,2)-MIN(2,2))/2</f>
        <v>0</v>
      </c>
      <c r="F9" s="32" t="n">
        <f aca="false">$H9*(MIN(4,2)-MIN(3,2))/2</f>
        <v>0</v>
      </c>
      <c r="G9" s="32" t="n">
        <f aca="false">$H9*(MIN(5,2)-MIN(4,2))/2</f>
        <v>0</v>
      </c>
      <c r="H9" s="33" t="n">
        <f aca="false">Inputs!$C$7*INDEX(Inputs!$C$13:$G$13,2)*(1-Inputs!$C$9)^2*Inputs!$C$8</f>
        <v>100000</v>
      </c>
    </row>
    <row r="10" customFormat="false" ht="18" hidden="false" customHeight="false" outlineLevel="0" collapsed="false">
      <c r="B10" s="26" t="s">
        <v>33</v>
      </c>
      <c r="C10" s="32" t="n">
        <f aca="false">$H10*(MIN(1,3)-MIN(0,3))/3</f>
        <v>33333.3333333333</v>
      </c>
      <c r="D10" s="32" t="n">
        <f aca="false">$H10*(MIN(2,3)-MIN(1,3))/3</f>
        <v>33333.3333333333</v>
      </c>
      <c r="E10" s="32" t="n">
        <f aca="false">$H10*(MIN(3,3)-MIN(2,3))/3</f>
        <v>33333.3333333333</v>
      </c>
      <c r="F10" s="32" t="n">
        <f aca="false">$H10*(MIN(4,3)-MIN(3,3))/3</f>
        <v>0</v>
      </c>
      <c r="G10" s="32" t="n">
        <f aca="false">$H10*(MIN(5,3)-MIN(4,3))/3</f>
        <v>0</v>
      </c>
      <c r="H10" s="33" t="n">
        <f aca="false">Inputs!$C$7*INDEX(Inputs!$C$13:$G$13,3)*(1-Inputs!$C$9)^3*Inputs!$C$8</f>
        <v>100000</v>
      </c>
    </row>
    <row r="11" customFormat="false" ht="18" hidden="false" customHeight="false" outlineLevel="0" collapsed="false">
      <c r="B11" s="26" t="s">
        <v>34</v>
      </c>
      <c r="C11" s="32" t="n">
        <f aca="false">$H11*(MIN(1,4)-MIN(0,4))/4</f>
        <v>25000</v>
      </c>
      <c r="D11" s="32" t="n">
        <f aca="false">$H11*(MIN(2,4)-MIN(1,4))/4</f>
        <v>25000</v>
      </c>
      <c r="E11" s="32" t="n">
        <f aca="false">$H11*(MIN(3,4)-MIN(2,4))/4</f>
        <v>25000</v>
      </c>
      <c r="F11" s="32" t="n">
        <f aca="false">$H11*(MIN(4,4)-MIN(3,4))/4</f>
        <v>25000</v>
      </c>
      <c r="G11" s="32" t="n">
        <f aca="false">$H11*(MIN(5,4)-MIN(4,4))/4</f>
        <v>0</v>
      </c>
      <c r="H11" s="33" t="n">
        <f aca="false">Inputs!$C$7*INDEX(Inputs!$C$13:$G$13,4)*(1-Inputs!$C$9)^4*Inputs!$C$8</f>
        <v>100000</v>
      </c>
    </row>
    <row r="12" customFormat="false" ht="18" hidden="false" customHeight="false" outlineLevel="0" collapsed="false">
      <c r="B12" s="26" t="s">
        <v>35</v>
      </c>
      <c r="C12" s="32" t="n">
        <f aca="false">$H12*(MIN(1,5)-MIN(0,5))/5</f>
        <v>0</v>
      </c>
      <c r="D12" s="32" t="n">
        <f aca="false">$H12*(MIN(2,5)-MIN(1,5))/5</f>
        <v>0</v>
      </c>
      <c r="E12" s="32" t="n">
        <f aca="false">$H12*(MIN(3,5)-MIN(2,5))/5</f>
        <v>0</v>
      </c>
      <c r="F12" s="32" t="n">
        <f aca="false">$H12*(MIN(4,5)-MIN(3,5))/5</f>
        <v>0</v>
      </c>
      <c r="G12" s="32" t="n">
        <f aca="false">$H12*(MIN(5,5)-MIN(4,5))/5</f>
        <v>0</v>
      </c>
      <c r="H12" s="33" t="n">
        <f aca="false">Inputs!$C$7*INDEX(Inputs!$C$13:$G$13,5)*(1-Inputs!$C$9)^5*Inputs!$C$8</f>
        <v>0</v>
      </c>
    </row>
    <row r="13" customFormat="false" ht="18" hidden="false" customHeight="false" outlineLevel="0" collapsed="false">
      <c r="B13" s="28" t="s">
        <v>44</v>
      </c>
      <c r="C13" s="33" t="n">
        <f aca="false">SUM(C8:C12)</f>
        <v>208333.333333333</v>
      </c>
      <c r="D13" s="33" t="n">
        <f aca="false">SUM(D8:D12)</f>
        <v>108333.333333333</v>
      </c>
      <c r="E13" s="33" t="n">
        <f aca="false">SUM(E8:E12)</f>
        <v>58333.3333333333</v>
      </c>
      <c r="F13" s="33" t="n">
        <f aca="false">SUM(F8:F12)</f>
        <v>25000</v>
      </c>
      <c r="G13" s="33" t="n">
        <f aca="false">SUM(G8:G12)</f>
        <v>0</v>
      </c>
      <c r="H13" s="33" t="n">
        <f aca="false">SUM(H8:H12)</f>
        <v>400000</v>
      </c>
    </row>
    <row r="14" customFormat="false" ht="18" hidden="false" customHeight="false" outlineLevel="0" collapsed="false"/>
    <row r="15" customFormat="false" ht="18" hidden="false" customHeight="false" outlineLevel="0" collapsed="false">
      <c r="B15" s="26" t="s">
        <v>45</v>
      </c>
      <c r="C15" s="34" t="n">
        <f aca="false">MAX(IF(Inputs!G13&gt;0,5,0),IF(Inputs!F13&gt;0,4,0),IF(Inputs!E13&gt;0,3,0),IF(Inputs!D13&gt;0,2,0),IF(Inputs!C13&gt;0,1,0))</f>
        <v>4</v>
      </c>
    </row>
    <row r="16" customFormat="false" ht="18" hidden="false" customHeight="false" outlineLevel="0" collapsed="false">
      <c r="B16" s="26" t="s">
        <v>46</v>
      </c>
      <c r="C16" s="32" t="n">
        <f aca="false">SUM($H$8:H8)</f>
        <v>100000</v>
      </c>
      <c r="D16" s="32" t="n">
        <f aca="false">SUM($H$8:H9)</f>
        <v>200000</v>
      </c>
      <c r="E16" s="32" t="n">
        <f aca="false">SUM($H$8:H10)</f>
        <v>300000</v>
      </c>
      <c r="F16" s="32" t="n">
        <f aca="false">SUM($H$8:H11)</f>
        <v>400000</v>
      </c>
      <c r="G16" s="32" t="n">
        <f aca="false">SUM($H$8:H12)</f>
        <v>400000</v>
      </c>
    </row>
    <row r="17" customFormat="false" ht="18" hidden="false" customHeight="false" outlineLevel="0" collapsed="false">
      <c r="B17" s="26" t="s">
        <v>47</v>
      </c>
      <c r="C17" s="32" t="n">
        <f aca="false">$H$13*MIN(1,$C$15)/$C$15</f>
        <v>100000</v>
      </c>
      <c r="D17" s="32" t="n">
        <f aca="false">$H$13*MIN(2,$C$15)/$C$15</f>
        <v>200000</v>
      </c>
      <c r="E17" s="32" t="n">
        <f aca="false">$H$13*MIN(3,$C$15)/$C$15</f>
        <v>300000</v>
      </c>
      <c r="F17" s="32" t="n">
        <f aca="false">$H$13*MIN(4,$C$15)/$C$15</f>
        <v>400000</v>
      </c>
      <c r="G17" s="32" t="n">
        <f aca="false">$H$13*MIN(5,$C$15)/$C$15</f>
        <v>400000</v>
      </c>
    </row>
    <row r="18" customFormat="false" ht="18" hidden="false" customHeight="false" outlineLevel="0" collapsed="false">
      <c r="B18" s="26" t="s">
        <v>48</v>
      </c>
      <c r="C18" s="32" t="n">
        <f aca="false">MAX(C16,C17)</f>
        <v>100000</v>
      </c>
      <c r="D18" s="32" t="n">
        <f aca="false">MAX(D16,D17)</f>
        <v>200000</v>
      </c>
      <c r="E18" s="32" t="n">
        <f aca="false">MAX(E16,E17)</f>
        <v>300000</v>
      </c>
      <c r="F18" s="32" t="n">
        <f aca="false">MAX(F16,F17)</f>
        <v>400000</v>
      </c>
      <c r="G18" s="32" t="n">
        <f aca="false">MAX(G16,G17)</f>
        <v>400000</v>
      </c>
    </row>
    <row r="19" customFormat="false" ht="18" hidden="false" customHeight="false" outlineLevel="0" collapsed="false">
      <c r="B19" s="28" t="s">
        <v>49</v>
      </c>
      <c r="C19" s="33" t="n">
        <f aca="false">C18-0</f>
        <v>100000</v>
      </c>
      <c r="D19" s="33" t="n">
        <f aca="false">D18-C18</f>
        <v>100000</v>
      </c>
      <c r="E19" s="33" t="n">
        <f aca="false">E18-D18</f>
        <v>100000</v>
      </c>
      <c r="F19" s="33" t="n">
        <f aca="false">F18-E18</f>
        <v>100000</v>
      </c>
      <c r="G19" s="33" t="n">
        <f aca="false">G18-F18</f>
        <v>0</v>
      </c>
      <c r="H19" s="33" t="n">
        <f aca="false">SUM(C19:G19)</f>
        <v>400000</v>
      </c>
    </row>
    <row r="20" customFormat="false" ht="18" hidden="false" customHeight="false" outlineLevel="0" collapsed="false"/>
    <row r="21" customFormat="false" ht="18" hidden="false" customHeight="false" outlineLevel="0" collapsed="false">
      <c r="B21" s="35" t="s">
        <v>50</v>
      </c>
      <c r="H21" s="36" t="str">
        <f aca="false">IF(ABS(H13-H19)&lt;1,"✓ Same total","✗ Totals differ")</f>
        <v>✓ Same total</v>
      </c>
    </row>
    <row r="22" customFormat="false" ht="18" hidden="false" customHeight="false" outlineLevel="0" collapsed="false"/>
    <row r="23" customFormat="false" ht="18" hidden="false" customHeight="true" outlineLevel="0" collapsed="false">
      <c r="B23" s="31" t="s">
        <v>51</v>
      </c>
      <c r="C23" s="31"/>
      <c r="D23" s="31"/>
      <c r="E23" s="31"/>
      <c r="F23" s="31"/>
      <c r="G23" s="31"/>
      <c r="H23" s="31"/>
    </row>
    <row r="24" customFormat="false" ht="18" hidden="false" customHeight="false" outlineLevel="0" collapsed="false">
      <c r="B24" s="31"/>
      <c r="C24" s="31"/>
      <c r="D24" s="31"/>
      <c r="E24" s="31"/>
      <c r="F24" s="31"/>
      <c r="G24" s="31"/>
      <c r="H24" s="31"/>
    </row>
    <row r="25" customFormat="false" ht="18" hidden="false" customHeight="false" outlineLevel="0" collapsed="false">
      <c r="B25" s="31"/>
      <c r="C25" s="31"/>
      <c r="D25" s="31"/>
      <c r="E25" s="31"/>
      <c r="F25" s="31"/>
      <c r="G25" s="31"/>
      <c r="H25" s="31"/>
    </row>
  </sheetData>
  <mergeCells count="3">
    <mergeCell ref="B2:H3"/>
    <mergeCell ref="B4:H4"/>
    <mergeCell ref="B23:H25"/>
  </mergeCells>
  <conditionalFormatting sqref="H21">
    <cfRule type="expression" priority="2" aboveAverage="0" equalAverage="0" bottom="0" percent="0" rank="0" text="" dxfId="0">
      <formula>LEFT(H21,1)="✓"</formula>
    </cfRule>
    <cfRule type="expression" priority="3" aboveAverage="0" equalAverage="0" bottom="0" percent="0" rank="0" text="" dxfId="1">
      <formula>LEFT(H21,1)&lt;&gt;"✓"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7" min="3" style="0" width="14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52</v>
      </c>
      <c r="C2" s="18"/>
      <c r="D2" s="18"/>
      <c r="E2" s="18"/>
      <c r="F2" s="18"/>
      <c r="G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</row>
    <row r="4" customFormat="false" ht="19.5" hidden="false" customHeight="true" outlineLevel="0" collapsed="false">
      <c r="B4" s="19" t="s">
        <v>53</v>
      </c>
      <c r="C4" s="19"/>
      <c r="D4" s="19"/>
      <c r="E4" s="19"/>
      <c r="F4" s="19"/>
      <c r="G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</row>
    <row r="6" customFormat="false" ht="18" hidden="false" customHeight="false" outlineLevel="0" collapsed="false"/>
    <row r="7" customFormat="false" ht="33.75" hidden="false" customHeight="true" outlineLevel="0" collapsed="false">
      <c r="B7" s="24" t="s">
        <v>42</v>
      </c>
      <c r="C7" s="25" t="s">
        <v>31</v>
      </c>
      <c r="D7" s="25" t="s">
        <v>32</v>
      </c>
      <c r="E7" s="25" t="s">
        <v>33</v>
      </c>
      <c r="F7" s="25" t="s">
        <v>34</v>
      </c>
      <c r="G7" s="25" t="s">
        <v>35</v>
      </c>
    </row>
    <row r="8" customFormat="false" ht="18" hidden="false" customHeight="false" outlineLevel="0" collapsed="false">
      <c r="B8" s="26" t="s">
        <v>54</v>
      </c>
      <c r="C8" s="32" t="n">
        <f aca="false">Inputs!$C$7*INDEX(Inputs!$C$13:$G$13,1)*(1-Inputs!$C$9)^1</f>
        <v>2500</v>
      </c>
      <c r="D8" s="32" t="n">
        <f aca="false">Inputs!$C$7*INDEX(Inputs!$C$13:$G$13,2)*(1-Inputs!$C$9)^2</f>
        <v>2500</v>
      </c>
      <c r="E8" s="32" t="n">
        <f aca="false">Inputs!$C$7*INDEX(Inputs!$C$13:$G$13,3)*(1-Inputs!$C$9)^3</f>
        <v>2500</v>
      </c>
      <c r="F8" s="32" t="n">
        <f aca="false">Inputs!$C$7*INDEX(Inputs!$C$13:$G$13,4)*(1-Inputs!$C$9)^4</f>
        <v>2500</v>
      </c>
      <c r="G8" s="32" t="n">
        <f aca="false">Inputs!$C$7*INDEX(Inputs!$C$13:$G$13,5)*(1-Inputs!$C$9)^5</f>
        <v>0</v>
      </c>
    </row>
    <row r="9" customFormat="false" ht="18" hidden="false" customHeight="false" outlineLevel="0" collapsed="false">
      <c r="B9" s="26" t="s">
        <v>55</v>
      </c>
      <c r="C9" s="32" t="n">
        <f aca="false">C8*N(INDEX(Inputs!$C$14:$G$14,1))</f>
        <v>125000</v>
      </c>
      <c r="D9" s="32" t="n">
        <f aca="false">D8*N(INDEX(Inputs!$C$14:$G$14,2))</f>
        <v>137500</v>
      </c>
      <c r="E9" s="32" t="n">
        <f aca="false">E8*N(INDEX(Inputs!$C$14:$G$14,3))</f>
        <v>112500</v>
      </c>
      <c r="F9" s="32" t="n">
        <f aca="false">F8*N(INDEX(Inputs!$C$14:$G$14,4))</f>
        <v>150000</v>
      </c>
      <c r="G9" s="32" t="n">
        <f aca="false">G8*N(INDEX(Inputs!$C$14:$G$14,5))</f>
        <v>0</v>
      </c>
    </row>
    <row r="10" customFormat="false" ht="18" hidden="false" customHeight="false" outlineLevel="0" collapsed="false">
      <c r="B10" s="26" t="s">
        <v>56</v>
      </c>
      <c r="C10" s="32" t="n">
        <f aca="false">INDEX(Schedule!$H$8:$H$12,1)</f>
        <v>100000</v>
      </c>
      <c r="D10" s="32" t="n">
        <f aca="false">INDEX(Schedule!$H$8:$H$12,2)</f>
        <v>100000</v>
      </c>
      <c r="E10" s="32" t="n">
        <f aca="false">INDEX(Schedule!$H$8:$H$12,3)</f>
        <v>100000</v>
      </c>
      <c r="F10" s="32" t="n">
        <f aca="false">INDEX(Schedule!$H$8:$H$12,4)</f>
        <v>100000</v>
      </c>
      <c r="G10" s="32" t="n">
        <f aca="false">INDEX(Schedule!$H$8:$H$12,5)</f>
        <v>0</v>
      </c>
    </row>
    <row r="11" customFormat="false" ht="18" hidden="false" customHeight="false" outlineLevel="0" collapsed="false">
      <c r="B11" s="26" t="s">
        <v>57</v>
      </c>
      <c r="C11" s="32" t="n">
        <f aca="false">C9-C10</f>
        <v>25000</v>
      </c>
      <c r="D11" s="32" t="n">
        <f aca="false">D9-D10</f>
        <v>37500</v>
      </c>
      <c r="E11" s="32" t="n">
        <f aca="false">E9-E10</f>
        <v>12500</v>
      </c>
      <c r="F11" s="32" t="n">
        <f aca="false">F9-F10</f>
        <v>50000</v>
      </c>
      <c r="G11" s="32" t="n">
        <f aca="false">G9-G10</f>
        <v>0</v>
      </c>
    </row>
    <row r="12" customFormat="false" ht="18" hidden="false" customHeight="false" outlineLevel="0" collapsed="false">
      <c r="B12" s="28" t="s">
        <v>58</v>
      </c>
      <c r="C12" s="33" t="n">
        <f aca="false">C11*Inputs!$C$10</f>
        <v>5250</v>
      </c>
      <c r="D12" s="33" t="n">
        <f aca="false">D11*Inputs!$C$10</f>
        <v>7875</v>
      </c>
      <c r="E12" s="33" t="n">
        <f aca="false">E11*Inputs!$C$10</f>
        <v>2625</v>
      </c>
      <c r="F12" s="33" t="n">
        <f aca="false">F11*Inputs!$C$10</f>
        <v>10500</v>
      </c>
      <c r="G12" s="33" t="n">
        <f aca="false">G11*Inputs!$C$10</f>
        <v>0</v>
      </c>
    </row>
    <row r="13" customFormat="false" ht="18" hidden="false" customHeight="false" outlineLevel="0" collapsed="false"/>
    <row r="14" customFormat="false" ht="18" hidden="false" customHeight="false" outlineLevel="0" collapsed="false">
      <c r="B14" s="28" t="s">
        <v>59</v>
      </c>
      <c r="C14" s="33" t="n">
        <f aca="false">SUM(C12:G12)</f>
        <v>26250</v>
      </c>
    </row>
    <row r="15" customFormat="false" ht="18" hidden="false" customHeight="false" outlineLevel="0" collapsed="false"/>
    <row r="16" customFormat="false" ht="33.75" hidden="false" customHeight="true" outlineLevel="0" collapsed="false">
      <c r="B16" s="24" t="s">
        <v>60</v>
      </c>
      <c r="C16" s="25" t="s">
        <v>61</v>
      </c>
    </row>
    <row r="17" customFormat="false" ht="18" hidden="false" customHeight="false" outlineLevel="0" collapsed="false">
      <c r="B17" s="26" t="s">
        <v>62</v>
      </c>
      <c r="C17" s="32" t="n">
        <f aca="false">C14</f>
        <v>26250</v>
      </c>
    </row>
    <row r="18" customFormat="false" ht="18" hidden="false" customHeight="false" outlineLevel="0" collapsed="false">
      <c r="B18" s="26" t="s">
        <v>63</v>
      </c>
      <c r="C18" s="32" t="n">
        <f aca="false">SUMIF(C12:G12,"&gt;0")</f>
        <v>26250</v>
      </c>
    </row>
    <row r="19" customFormat="false" ht="18" hidden="false" customHeight="false" outlineLevel="0" collapsed="false">
      <c r="B19" s="26" t="s">
        <v>64</v>
      </c>
      <c r="C19" s="32" t="n">
        <f aca="false">SUMIF(C12:G12,"&lt;0")</f>
        <v>0</v>
      </c>
    </row>
    <row r="20" customFormat="false" ht="18" hidden="false" customHeight="false" outlineLevel="0" collapsed="false"/>
    <row r="21" customFormat="false" ht="18" hidden="false" customHeight="true" outlineLevel="0" collapsed="false">
      <c r="B21" s="31" t="s">
        <v>65</v>
      </c>
      <c r="C21" s="31"/>
      <c r="D21" s="31"/>
      <c r="E21" s="31"/>
      <c r="F21" s="31"/>
      <c r="G21" s="31"/>
    </row>
    <row r="22" customFormat="false" ht="18" hidden="false" customHeight="false" outlineLevel="0" collapsed="false">
      <c r="B22" s="31"/>
      <c r="C22" s="31"/>
      <c r="D22" s="31"/>
      <c r="E22" s="31"/>
      <c r="F22" s="31"/>
      <c r="G22" s="31"/>
    </row>
    <row r="23" customFormat="false" ht="18" hidden="false" customHeight="false" outlineLevel="0" collapsed="false">
      <c r="B23" s="31"/>
      <c r="C23" s="31"/>
      <c r="D23" s="31"/>
      <c r="E23" s="31"/>
      <c r="F23" s="31"/>
      <c r="G23" s="31"/>
    </row>
  </sheetData>
  <mergeCells count="3">
    <mergeCell ref="B2:G3"/>
    <mergeCell ref="B4:G4"/>
    <mergeCell ref="B21:G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2026-10-26T07:26:44Z</dcterms:created>
  <dc:creator>openpyxl</dc:creator>
  <dc:description/>
  <dc:language>en-US</dc:language>
  <cp:lastModifiedBy/>
  <dcterms:modified xsi:type="dcterms:W3CDTF">2026-10-26T12:26:50Z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