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Lease" sheetId="2" state="visible" r:id="rId4"/>
    <sheet name="Schedule" sheetId="3" state="visible" r:id="rId5"/>
    <sheet name="Modification" sheetId="4" state="visible" r:id="rId6"/>
    <sheet name="ASC 842 operating" sheetId="5" state="visible" r:id="rId7"/>
    <sheet name="Journal entrie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<sst xmlns="http://schemas.openxmlformats.org/spreadsheetml/2006/main" count="129" uniqueCount="113">
  <si>
    <t xml:space="preserve">Lease calculator</t>
  </si>
  <si>
    <t xml:space="preserve">IFRS 16 for lessees, with the ASC 842 operating lease cost alongside</t>
  </si>
  <si>
    <t xml:space="preserve">HOW IT WORKS</t>
  </si>
  <si>
    <t xml:space="preserve">Enter the lease terms</t>
  </si>
  <si>
    <t xml:space="preserve">Read the results</t>
  </si>
  <si>
    <t xml:space="preserve">Post the entries</t>
  </si>
  <si>
    <t xml:space="preserve">Payment, term, rate and timing</t>
  </si>
  <si>
    <t xml:space="preserve">Liability, asset and schedule</t>
  </si>
  <si>
    <t xml:space="preserve">Year 1 journal entries</t>
  </si>
  <si>
    <t xml:space="preserve">LIVE RESULTS</t>
  </si>
  <si>
    <t xml:space="preserve">Lease liability</t>
  </si>
  <si>
    <t xml:space="preserve">Right-of-use asset</t>
  </si>
  <si>
    <t xml:space="preserve">IFRS 16 expense, year 1</t>
  </si>
  <si>
    <t xml:space="preserve">Checks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</si>
  <si>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</si>
  <si>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</si>
  <si>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</si>
  <si>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</si>
  <si>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</si>
  <si>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</si>
  <si>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Lease  ›</t>
  </si>
  <si>
    <t xml:space="preserve">Schedule  ›</t>
  </si>
  <si>
    <t xml:space="preserve">Modification  ›</t>
  </si>
  <si>
    <t xml:space="preserve">ASC 842 operating  ›</t>
  </si>
  <si>
    <t xml:space="preserve">Example: Northline Telecom, a fictional company, in CU million. Replace the figures with your own. General information, not advice. taxbakers.com/ifrs-18</t>
  </si>
  <si>
    <t xml:space="preserve">Lease</t>
  </si>
  <si>
    <t xml:space="preserve">Enter the lease terms on the left; the results update on the right. CU.</t>
  </si>
  <si>
    <t xml:space="preserve">INPUTS</t>
  </si>
  <si>
    <t xml:space="preserve">RESULTS</t>
  </si>
  <si>
    <t xml:space="preserve">5-year office lease</t>
  </si>
  <si>
    <t xml:space="preserve">Lease liability at commencement</t>
  </si>
  <si>
    <t xml:space="preserve">Annual payment</t>
  </si>
  <si>
    <t xml:space="preserve">Payment made at commencement</t>
  </si>
  <si>
    <t xml:space="preserve">Lease term (years, up to 20)</t>
  </si>
  <si>
    <t xml:space="preserve">Right-of-use asset at commencement</t>
  </si>
  <si>
    <t xml:space="preserve">Discount rate</t>
  </si>
  <si>
    <t xml:space="preserve">Annual depreciation of the right-of-use asset</t>
  </si>
  <si>
    <t xml:space="preserve">Payments made</t>
  </si>
  <si>
    <t xml:space="preserve">End of each year</t>
  </si>
  <si>
    <t xml:space="preserve">Total lease payments</t>
  </si>
  <si>
    <t xml:space="preserve">Initial direct costs</t>
  </si>
  <si>
    <t xml:space="preserve">Total interest over the lease</t>
  </si>
  <si>
    <t xml:space="preserve">Lease incentives received</t>
  </si>
  <si>
    <t xml:space="preserve">ASC 842 operating lease cost each year (straight line)</t>
  </si>
  <si>
    <t xml:space="preserve">CHECKS</t>
  </si>
  <si>
    <t xml:space="preserve">Lease liability = present value of payments not yet paid, at the rate implicit in the lease or, if that cannot be determined, the incremental borrowing rate (IFRS 16.26). Right-of-use asset = liability + payments made at or before commencement + initial direct costs - incentives received (IFRS 16.24).</t>
  </si>
  <si>
    <t xml:space="preserve">Lease term between 1 and 20 years</t>
  </si>
  <si>
    <t xml:space="preserve">Liability is fully repaid by the end</t>
  </si>
  <si>
    <t xml:space="preserve">IFRS 16 and ASC 842 total costs agree</t>
  </si>
  <si>
    <t xml:space="preserve">Schedule</t>
  </si>
  <si>
    <t xml:space="preserve">Year by year: the lease liability, the right-of-use asset and the expense under IFRS 16 and ASC 842. CU.</t>
  </si>
  <si>
    <t xml:space="preserve">Year</t>
  </si>
  <si>
    <t xml:space="preserve">Opening liability</t>
  </si>
  <si>
    <t xml:space="preserve">Interest</t>
  </si>
  <si>
    <t xml:space="preserve">Payment at year end</t>
  </si>
  <si>
    <t xml:space="preserve">Closing liability</t>
  </si>
  <si>
    <t xml:space="preserve">Depreciation</t>
  </si>
  <si>
    <t xml:space="preserve">IFRS 16 expense</t>
  </si>
  <si>
    <t xml:space="preserve">ASC 842 lease cost</t>
  </si>
  <si>
    <t xml:space="preserve">Difference</t>
  </si>
  <si>
    <t xml:space="preserve">Total</t>
  </si>
  <si>
    <t xml:space="preserve">IFRS 16 expense = depreciation + interest, so it is higher in early years and lower later. Under ASC 842 an operating lease has a single straight-line cost. Over the whole lease the totals are the same; only the timing differs.</t>
  </si>
  <si>
    <t xml:space="preserve">Modification</t>
  </si>
  <si>
    <t xml:space="preserve">A change to the lease that is not a separate lease, such as an extension: remeasure the liability and adjust the asset. CU.</t>
  </si>
  <si>
    <t xml:space="preserve">Modification takes effect at the end of year</t>
  </si>
  <si>
    <t xml:space="preserve">Lease liability just before the modification</t>
  </si>
  <si>
    <t xml:space="preserve">New remaining term (years)</t>
  </si>
  <si>
    <t xml:space="preserve">Right-of-use asset just before the modification</t>
  </si>
  <si>
    <t xml:space="preserve">New annual payment, at the end of each year</t>
  </si>
  <si>
    <t xml:space="preserve">Remeasured lease liability</t>
  </si>
  <si>
    <t xml:space="preserve">Revised discount rate at the modification date</t>
  </si>
  <si>
    <t xml:space="preserve">Adjustment to the right-of-use asset</t>
  </si>
  <si>
    <t xml:space="preserve">Right-of-use asset after the modification</t>
  </si>
  <si>
    <t xml:space="preserve">Modification date falls within the original lease</t>
  </si>
  <si>
    <t xml:space="preserve">New annual depreciation</t>
  </si>
  <si>
    <t xml:space="preserve">Asset stays positive after the adjustment</t>
  </si>
  <si>
    <t xml:space="preserve">Interest in the first year after</t>
  </si>
  <si>
    <t xml:space="preserve">Use this sheet for modifications that are not accounted for as a separate lease, such as extending the term or changing the payments (IFRS 16.44-46). A modification that adds a right to use more assets at a stand-alone price is a separate lease. A modification that reduces the scope of the lease, such as giving up a floor, also needs a gain or loss on partial termination, which this sheet does not calculate.</t>
  </si>
  <si>
    <t xml:space="preserve">ASC 842 operating lease</t>
  </si>
  <si>
    <t xml:space="preserve">US GAAP: one straight-line lease cost; the right-of-use asset amortization is whatever makes the cost straight-line. $ or CU.</t>
  </si>
  <si>
    <t xml:space="preserve">Accretion of interest</t>
  </si>
  <si>
    <t xml:space="preserve">Payment</t>
  </si>
  <si>
    <t xml:space="preserve">Straight-line lease cost</t>
  </si>
  <si>
    <t xml:space="preserve">Right-of-use amortization</t>
  </si>
  <si>
    <t xml:space="preserve">Right-of-use asset at year end</t>
  </si>
  <si>
    <t xml:space="preserve">Right-of-use asset reaches nil at the end</t>
  </si>
  <si>
    <t xml:space="preserve">YEAR 1 ENTRIES</t>
  </si>
  <si>
    <t xml:space="preserve">Operating lease cost</t>
  </si>
  <si>
    <t xml:space="preserve">   Cash</t>
  </si>
  <si>
    <t xml:space="preserve">   Accrued or prepaid rent (any difference)</t>
  </si>
  <si>
    <t xml:space="preserve">Lease liability (payment less accretion)</t>
  </si>
  <si>
    <t xml:space="preserve">   Right-of-use asset (amortization)</t>
  </si>
  <si>
    <t xml:space="preserve">Under ASC 842 an operating lease shows one lease cost, recognized on a straight-line basis, and the right-of-use asset is amortized by the difference between that cost and the interest accreted on the liability (ASC 842-20-25-6 and 35-3). With level payments in arrears and no direct costs or incentives, the asset and liability move together.</t>
  </si>
  <si>
    <t xml:space="preserve">Journal entries</t>
  </si>
  <si>
    <t xml:space="preserve">The entries for commencement and the first year, from the Lease and Schedule sheets. CU.</t>
  </si>
  <si>
    <t xml:space="preserve">When</t>
  </si>
  <si>
    <t xml:space="preserve">Account</t>
  </si>
  <si>
    <t xml:space="preserve">Debit</t>
  </si>
  <si>
    <t xml:space="preserve">Credit</t>
  </si>
  <si>
    <t xml:space="preserve">Commencement</t>
  </si>
  <si>
    <t xml:space="preserve">   Lease liability</t>
  </si>
  <si>
    <t xml:space="preserve">Payment at commencement (if any)</t>
  </si>
  <si>
    <t xml:space="preserve">Initial direct costs (if any)</t>
  </si>
  <si>
    <t xml:space="preserve">Lease incentive received (if any)</t>
  </si>
  <si>
    <t xml:space="preserve">Cash</t>
  </si>
  <si>
    <t xml:space="preserve">   Right-of-use asset</t>
  </si>
  <si>
    <t xml:space="preserve">Year 1: interest</t>
  </si>
  <si>
    <t xml:space="preserve">Interest expense</t>
  </si>
  <si>
    <t xml:space="preserve">Year 1: payment</t>
  </si>
  <si>
    <t xml:space="preserve">Year 1: depreciation</t>
  </si>
  <si>
    <t xml:space="preserve">Depreciation expense</t>
  </si>
  <si>
    <t xml:space="preserve">   Accumulated depreciation, right-of-use asset</t>
  </si>
  <si>
    <t xml:space="preserve">Debits equal credits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</si>
</sst>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#,##0.00;\(#,##0.00\);;"/>
    <numFmt numFmtId="167" formatCode="#,##0;\(#,##0\);;"/>
    <numFmt numFmtId="168" formatCode="0"/>
    <numFmt numFmtId="169" formatCode="0.0%;\(0.0%\);;"/>
  </numFmts>
  <fonts count="2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A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  <border diagonalUp="false" diagonalDown="false">
      <left/>
      <right/>
      <top style="thin">
        <color rgb="FFD5DBD8"/>
      </top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2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2" fillId="6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1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2" fillId="6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22" fillId="6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2E6B12"/>
      </font>
      <fill>
        <patternFill>
          <bgColor rgb="FFDFF0D0"/>
        </patternFill>
      </fill>
    </dxf>
    <dxf>
      <font>
        <name val="Arial"/>
        <charset val="1"/>
        <family val="0"/>
        <b val="1"/>
        <color rgb="FFA12B1E"/>
      </font>
      <fill>
        <patternFill>
          <bgColor rgb="FFF8D7D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6B12"/>
      <rgbColor rgb="FF000080"/>
      <rgbColor rgb="FF808000"/>
      <rgbColor rgb="FF800080"/>
      <rgbColor rgb="FF008080"/>
      <rgbColor rgb="FF9FB3B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D5DBD8"/>
      <rgbColor rgb="FFFF99CC"/>
      <rgbColor rgb="FFCC99FF"/>
      <rgbColor rgb="FFF8D7D2"/>
      <rgbColor rgb="FF3366FF"/>
      <rgbColor rgb="FF33CCCC"/>
      <rgbColor rgb="FF86BC25"/>
      <rgbColor rgb="FFFFCC00"/>
      <rgbColor rgb="FFFF9900"/>
      <rgbColor rgb="FFFF6600"/>
      <rgbColor rgb="FF6B7A80"/>
      <rgbColor rgb="FF969696"/>
      <rgbColor rgb="FF0E3D4A"/>
      <rgbColor rgb="FF339966"/>
      <rgbColor rgb="FF003300"/>
      <rgbColor rgb="FF333300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Expense each year: IFRS 16 vs ASC 842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Schedule!I7</c:f>
              <c:strCache>
                <c:ptCount val="1"/>
                <c:pt idx="0">
                  <c:v>IFRS 16 expense</c:v>
                </c:pt>
              </c:strCache>
            </c:strRef>
          </c:tx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Schedule!$B$8:$B$17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Schedule!$I$8:$I$17</c:f>
              <c:numCache>
                <c:formatCode>#,##0.00;\(#,##0.00\);;</c:formatCode>
                <c:ptCount val="10"/>
                <c:pt idx="0">
                  <c:v>108236.916765771</c:v>
                </c:pt>
                <c:pt idx="1">
                  <c:v>104319.285933428</c:v>
                </c:pt>
                <c:pt idx="2">
                  <c:v>100205.773559469</c:v>
                </c:pt>
                <c:pt idx="3">
                  <c:v>95886.5855668115</c:v>
                </c:pt>
                <c:pt idx="4">
                  <c:v>91351.4381745212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Schedule!J7</c:f>
              <c:strCache>
                <c:ptCount val="1"/>
                <c:pt idx="0">
                  <c:v>ASC 842 lease cost</c:v>
                </c:pt>
              </c:strCache>
            </c:strRef>
          </c:tx>
          <c:spPr>
            <a:solidFill>
              <a:srgbClr val="9fb3b8"/>
            </a:solidFill>
            <a:ln w="0">
              <a:solidFill>
                <a:srgbClr val="9fb3b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Schedule!$B$8:$B$17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Schedule!$J$8:$J$17</c:f>
              <c:numCache>
                <c:formatCode>#,##0.00;\(#,##0.00\);;</c:formatCode>
                <c:ptCount val="10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60"/>
        <c:overlap val="0"/>
        <c:axId val="19494892"/>
        <c:axId val="31755143"/>
      </c:barChart>
      <c:catAx>
        <c:axId val="194948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755143"/>
        <c:crosses val="autoZero"/>
        <c:auto val="1"/>
        <c:lblAlgn val="ctr"/>
        <c:lblOffset val="100"/>
        <c:noMultiLvlLbl val="0"/>
      </c:catAx>
      <c:valAx>
        <c:axId val="31755143"/>
        <c:scaling>
          <c:orientation val="minMax"/>
        </c:scaling>
        <c:delete val="1"/>
        <c:axPos val="l"/>
        <c:numFmt formatCode="#,##0.00;\(#,##0.0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9494892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Expense each year: IFRS 16 vs ASC 842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Schedule!I7</c:f>
              <c:strCache>
                <c:ptCount val="1"/>
                <c:pt idx="0">
                  <c:v>IFRS 16 expense</c:v>
                </c:pt>
              </c:strCache>
            </c:strRef>
          </c:tx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Schedule!$B$8:$B$17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Schedule!$I$8:$I$17</c:f>
              <c:numCache>
                <c:formatCode>#,##0.00;\(#,##0.00\);;</c:formatCode>
                <c:ptCount val="10"/>
                <c:pt idx="0">
                  <c:v>108236.916765771</c:v>
                </c:pt>
                <c:pt idx="1">
                  <c:v>104319.285933428</c:v>
                </c:pt>
                <c:pt idx="2">
                  <c:v>100205.773559469</c:v>
                </c:pt>
                <c:pt idx="3">
                  <c:v>95886.5855668115</c:v>
                </c:pt>
                <c:pt idx="4">
                  <c:v>91351.4381745212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ser>
          <c:idx val="1"/>
          <c:order val="1"/>
          <c:tx>
            <c:strRef>
              <c:f>Schedule!J7</c:f>
              <c:strCache>
                <c:ptCount val="1"/>
                <c:pt idx="0">
                  <c:v>ASC 842 lease cost</c:v>
                </c:pt>
              </c:strCache>
            </c:strRef>
          </c:tx>
          <c:spPr>
            <a:solidFill>
              <a:srgbClr val="9fb3b8"/>
            </a:solidFill>
            <a:ln w="0">
              <a:solidFill>
                <a:srgbClr val="9fb3b8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Schedule!$B$8:$B$17</c:f>
              <c:strCach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strCache>
            </c:strRef>
          </c:cat>
          <c:val>
            <c:numRef>
              <c:f>Schedule!$J$8:$J$17</c:f>
              <c:numCache>
                <c:formatCode>#,##0.00;\(#,##0.00\);;</c:formatCode>
                <c:ptCount val="10"/>
                <c:pt idx="0">
                  <c:v>100000</c:v>
                </c:pt>
                <c:pt idx="1">
                  <c:v>100000</c:v>
                </c:pt>
                <c:pt idx="2">
                  <c:v>100000</c:v>
                </c:pt>
                <c:pt idx="3">
                  <c:v>100000</c:v>
                </c:pt>
                <c:pt idx="4">
                  <c:v>100000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</c:ser>
        <c:gapWidth val="60"/>
        <c:overlap val="0"/>
        <c:axId val="73801917"/>
        <c:axId val="99527706"/>
      </c:barChart>
      <c:catAx>
        <c:axId val="738019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9527706"/>
        <c:crosses val="autoZero"/>
        <c:auto val="1"/>
        <c:lblAlgn val="ctr"/>
        <c:lblOffset val="100"/>
        <c:noMultiLvlLbl val="0"/>
      </c:catAx>
      <c:valAx>
        <c:axId val="99527706"/>
        <c:scaling>
          <c:orientation val="minMax"/>
        </c:scaling>
        <c:delete val="1"/>
        <c:axPos val="l"/>
        <c:numFmt formatCode="#,##0.00;\(#,##0.0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3801917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23</xdr:row>
      <xdr:rowOff>0</xdr:rowOff>
    </xdr:from>
    <xdr:to>
      <xdr:col>12</xdr:col>
      <xdr:colOff>799560</xdr:colOff>
      <xdr:row>35</xdr:row>
      <xdr:rowOff>136440</xdr:rowOff>
    </xdr:to>
    <xdr:graphicFrame>
      <xdr:nvGraphicFramePr>
        <xdr:cNvPr id="0" name="Chart 1"/>
        <xdr:cNvGraphicFramePr/>
      </xdr:nvGraphicFramePr>
      <xdr:xfrm>
        <a:off x="176400" y="5676840"/>
        <a:ext cx="97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0</xdr:colOff>
      <xdr:row>6</xdr:row>
      <xdr:rowOff>0</xdr:rowOff>
    </xdr:from>
    <xdr:to>
      <xdr:col>23</xdr:col>
      <xdr:colOff>473040</xdr:colOff>
      <xdr:row>17</xdr:row>
      <xdr:rowOff>164880</xdr:rowOff>
    </xdr:to>
    <xdr:graphicFrame>
      <xdr:nvGraphicFramePr>
        <xdr:cNvPr id="1" name="Chart 1"/>
        <xdr:cNvGraphicFramePr/>
      </xdr:nvGraphicFramePr>
      <xdr:xfrm>
        <a:off x="10867320" y="124776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Lease!F8</f>
        <v>432947.667063082</v>
      </c>
      <c r="C15" s="10"/>
      <c r="D15" s="10"/>
      <c r="E15" s="10" t="n">
        <f aca="false">Lease!F10</f>
        <v>432947.667063082</v>
      </c>
      <c r="F15" s="10"/>
      <c r="G15" s="10"/>
      <c r="H15" s="10" t="n">
        <f aca="false">Schedule!I8</f>
        <v>108236.916765771</v>
      </c>
      <c r="I15" s="10"/>
      <c r="J15" s="10"/>
      <c r="K15" s="11" t="str">
        <f aca="false">IF(AND(LEFT(Lease!C18,1)="✓",LEFT(Lease!C19,1)="✓",LEFT(Lease!C20,1)="✓"),"✓ All agree","✗ Check inputs")</f>
        <v>✓ All agree</v>
      </c>
      <c r="L15" s="11"/>
      <c r="M15" s="11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2" t="s">
        <v>15</v>
      </c>
      <c r="C19" s="12"/>
      <c r="D19" s="12"/>
      <c r="E19" s="13" t="s">
        <v>16</v>
      </c>
      <c r="F19" s="13"/>
      <c r="G19" s="13"/>
      <c r="H19" s="14" t="s">
        <v>17</v>
      </c>
      <c r="I19" s="14"/>
      <c r="J19" s="14"/>
      <c r="K19" s="15" t="s">
        <v>18</v>
      </c>
      <c r="L19" s="15"/>
      <c r="M19" s="15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6" t="s">
        <v>20</v>
      </c>
      <c r="C22" s="16"/>
      <c r="D22" s="16"/>
      <c r="E22" s="16" t="s">
        <v>21</v>
      </c>
      <c r="F22" s="16"/>
      <c r="G22" s="16"/>
      <c r="H22" s="16" t="s">
        <v>22</v>
      </c>
      <c r="I22" s="16"/>
      <c r="J22" s="16"/>
      <c r="K22" s="16" t="s">
        <v>23</v>
      </c>
      <c r="L22" s="16"/>
      <c r="M22" s="16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7" t="s">
        <v>24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</sheetData>
  <mergeCells count="32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H22:J22"/>
    <mergeCell ref="K22:M22"/>
    <mergeCell ref="B41:M41"/>
  </mergeCells>
  <conditionalFormatting sqref="K15">
    <cfRule type="expression" priority="2" aboveAverage="0" equalAverage="0" bottom="0" percent="0" rank="0" text="" dxfId="0">
      <formula>LEFT(K15,1)="✓"</formula>
    </cfRule>
    <cfRule type="expression" priority="3" aboveAverage="0" equalAverage="0" bottom="0" percent="0" rank="0" text="" dxfId="1">
      <formula>LEFT(K15,1)&lt;&gt;"✓"</formula>
    </cfRule>
  </conditionalFormatting>
  <hyperlinks>
    <hyperlink ref="B22" location="'Lease'!B2" display="Lease  ›"/>
    <hyperlink ref="E22" location="'Schedule'!B2" display="Schedule  ›"/>
    <hyperlink ref="H22" location="'Modification'!B2" display="Modification  ›"/>
    <hyperlink ref="K22" location="'ASC 842 operating'!B2" display="ASC 842 operating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4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44"/>
    <col collapsed="false" customWidth="true" hidden="false" outlineLevel="0" max="6" min="6" style="0" width="18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25</v>
      </c>
      <c r="C2" s="18"/>
      <c r="D2" s="18"/>
      <c r="E2" s="18"/>
      <c r="F2" s="18"/>
    </row>
    <row r="3" customFormat="false" ht="19.5" hidden="false" customHeight="true" outlineLevel="0" collapsed="false">
      <c r="B3" s="18"/>
      <c r="C3" s="18"/>
      <c r="D3" s="18"/>
      <c r="E3" s="18"/>
      <c r="F3" s="18"/>
    </row>
    <row r="4" customFormat="false" ht="19.5" hidden="false" customHeight="true" outlineLevel="0" collapsed="false">
      <c r="B4" s="19" t="s">
        <v>26</v>
      </c>
      <c r="C4" s="19"/>
      <c r="D4" s="19"/>
      <c r="E4" s="19"/>
      <c r="F4" s="19"/>
    </row>
    <row r="5" customFormat="false" ht="3.75" hidden="false" customHeight="true" outlineLevel="0" collapsed="false">
      <c r="B5" s="4"/>
      <c r="C5" s="4"/>
      <c r="D5" s="4"/>
      <c r="E5" s="4"/>
      <c r="F5" s="4"/>
    </row>
    <row r="6" customFormat="false" ht="18" hidden="false" customHeight="false" outlineLevel="0" collapsed="false"/>
    <row r="7" customFormat="false" ht="18" hidden="false" customHeight="false" outlineLevel="0" collapsed="false">
      <c r="B7" s="20" t="s">
        <v>27</v>
      </c>
      <c r="E7" s="20" t="s">
        <v>28</v>
      </c>
    </row>
    <row r="8" customFormat="false" ht="18" hidden="false" customHeight="false" outlineLevel="0" collapsed="false">
      <c r="B8" s="21" t="s">
        <v>25</v>
      </c>
      <c r="C8" s="22" t="s">
        <v>29</v>
      </c>
      <c r="E8" s="21" t="s">
        <v>30</v>
      </c>
      <c r="F8" s="23" t="n">
        <f aca="false">IF(C12="Start of each year",PV(C11,C10,-C9,0,1)-C9,PV(C11,C10,-C9))</f>
        <v>432947.667063082</v>
      </c>
    </row>
    <row r="9" customFormat="false" ht="18" hidden="false" customHeight="false" outlineLevel="0" collapsed="false">
      <c r="B9" s="21" t="s">
        <v>31</v>
      </c>
      <c r="C9" s="24" t="n">
        <v>100000</v>
      </c>
      <c r="E9" s="21" t="s">
        <v>32</v>
      </c>
      <c r="F9" s="25" t="n">
        <f aca="false">IF(C12="Start of each year",C9,0)</f>
        <v>0</v>
      </c>
    </row>
    <row r="10" customFormat="false" ht="18" hidden="false" customHeight="false" outlineLevel="0" collapsed="false">
      <c r="B10" s="21" t="s">
        <v>33</v>
      </c>
      <c r="C10" s="26" t="n">
        <v>5</v>
      </c>
      <c r="E10" s="21" t="s">
        <v>34</v>
      </c>
      <c r="F10" s="23" t="n">
        <f aca="false">F8+F9+C13-C14</f>
        <v>432947.667063082</v>
      </c>
    </row>
    <row r="11" customFormat="false" ht="18" hidden="false" customHeight="false" outlineLevel="0" collapsed="false">
      <c r="B11" s="21" t="s">
        <v>35</v>
      </c>
      <c r="C11" s="27" t="n">
        <v>0.05</v>
      </c>
      <c r="E11" s="21" t="s">
        <v>36</v>
      </c>
      <c r="F11" s="23" t="n">
        <f aca="false">F10/C10</f>
        <v>86589.5334126164</v>
      </c>
    </row>
    <row r="12" customFormat="false" ht="18" hidden="false" customHeight="false" outlineLevel="0" collapsed="false">
      <c r="B12" s="21" t="s">
        <v>37</v>
      </c>
      <c r="C12" s="22" t="s">
        <v>38</v>
      </c>
      <c r="E12" s="21" t="s">
        <v>39</v>
      </c>
      <c r="F12" s="25" t="n">
        <f aca="false">C9*C10</f>
        <v>500000</v>
      </c>
    </row>
    <row r="13" customFormat="false" ht="18" hidden="false" customHeight="false" outlineLevel="0" collapsed="false">
      <c r="B13" s="21" t="s">
        <v>40</v>
      </c>
      <c r="C13" s="24" t="n">
        <v>0</v>
      </c>
      <c r="E13" s="21" t="s">
        <v>41</v>
      </c>
      <c r="F13" s="23" t="n">
        <f aca="false">F12-F9-F8</f>
        <v>67052.3329369178</v>
      </c>
    </row>
    <row r="14" customFormat="false" ht="23.85" hidden="false" customHeight="false" outlineLevel="0" collapsed="false">
      <c r="B14" s="21" t="s">
        <v>42</v>
      </c>
      <c r="C14" s="24" t="n">
        <v>0</v>
      </c>
      <c r="E14" s="21" t="s">
        <v>43</v>
      </c>
      <c r="F14" s="23" t="n">
        <f aca="false">(F12+C13-C14)/C10</f>
        <v>100000</v>
      </c>
    </row>
    <row r="15" customFormat="false" ht="18" hidden="false" customHeight="false" outlineLevel="0" collapsed="false"/>
    <row r="16" customFormat="false" ht="18" hidden="false" customHeight="false" outlineLevel="0" collapsed="false"/>
    <row r="17" customFormat="false" ht="18" hidden="false" customHeight="true" outlineLevel="0" collapsed="false">
      <c r="B17" s="20" t="s">
        <v>44</v>
      </c>
      <c r="E17" s="28" t="s">
        <v>45</v>
      </c>
      <c r="F17" s="28"/>
    </row>
    <row r="18" customFormat="false" ht="18" hidden="false" customHeight="false" outlineLevel="0" collapsed="false">
      <c r="B18" s="29" t="s">
        <v>46</v>
      </c>
      <c r="C18" s="30" t="str">
        <f aca="false">IF(AND(C10&gt;=1,C10&lt;=20,C10=INT(C10)),"✓ OK","✗ Use 1 to 20 whole years")</f>
        <v>✓ OK</v>
      </c>
      <c r="E18" s="28"/>
      <c r="F18" s="28"/>
    </row>
    <row r="19" customFormat="false" ht="18" hidden="false" customHeight="false" outlineLevel="0" collapsed="false">
      <c r="B19" s="29" t="s">
        <v>47</v>
      </c>
      <c r="C19" s="30" t="str">
        <f aca="false">IF(ABS(INDEX(Schedule!F8:F27,C10))&lt;0.5,"✓ Repaid","✗ Check inputs")</f>
        <v>✓ Repaid</v>
      </c>
      <c r="E19" s="28"/>
      <c r="F19" s="28"/>
    </row>
    <row r="20" customFormat="false" ht="18" hidden="false" customHeight="false" outlineLevel="0" collapsed="false">
      <c r="B20" s="29" t="s">
        <v>48</v>
      </c>
      <c r="C20" s="30" t="str">
        <f aca="false">IF(ABS(Schedule!I28-Schedule!J28)&lt;0.5,"✓ Agree","✗ Differ")</f>
        <v>✓ Agree</v>
      </c>
      <c r="E20" s="28"/>
      <c r="F20" s="28"/>
    </row>
  </sheetData>
  <mergeCells count="3">
    <mergeCell ref="B2:F3"/>
    <mergeCell ref="B4:F4"/>
    <mergeCell ref="E17:F20"/>
  </mergeCells>
  <conditionalFormatting sqref="C18">
    <cfRule type="expression" priority="2" aboveAverage="0" equalAverage="0" bottom="0" percent="0" rank="0" text="" dxfId="0">
      <formula>LEFT(C18,1)="✓"</formula>
    </cfRule>
    <cfRule type="expression" priority="3" aboveAverage="0" equalAverage="0" bottom="0" percent="0" rank="0" text="" dxfId="1">
      <formula>LEFT(C18,1)&lt;&gt;"✓"</formula>
    </cfRule>
  </conditionalFormatting>
  <conditionalFormatting sqref="C19">
    <cfRule type="expression" priority="4" aboveAverage="0" equalAverage="0" bottom="0" percent="0" rank="0" text="" dxfId="0">
      <formula>LEFT(C19,1)="✓"</formula>
    </cfRule>
    <cfRule type="expression" priority="5" aboveAverage="0" equalAverage="0" bottom="0" percent="0" rank="0" text="" dxfId="1">
      <formula>LEFT(C19,1)&lt;&gt;"✓"</formula>
    </cfRule>
  </conditionalFormatting>
  <conditionalFormatting sqref="C20">
    <cfRule type="expression" priority="6" aboveAverage="0" equalAverage="0" bottom="0" percent="0" rank="0" text="" dxfId="0">
      <formula>LEFT(C20,1)="✓"</formula>
    </cfRule>
    <cfRule type="expression" priority="7" aboveAverage="0" equalAverage="0" bottom="0" percent="0" rank="0" text="" dxfId="1">
      <formula>LEFT(C20,1)&lt;&gt;"✓"</formula>
    </cfRule>
  </conditionalFormatting>
  <dataValidations count="1">
    <dataValidation allowBlank="false" errorStyle="stop" operator="between" showDropDown="false" showErrorMessage="false" showInputMessage="false" sqref="C12" type="list">
      <formula1>"End of each year,Start of each year"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K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8"/>
    <col collapsed="false" customWidth="true" hidden="false" outlineLevel="0" max="11" min="3" style="0" width="15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49</v>
      </c>
      <c r="C2" s="18"/>
      <c r="D2" s="18"/>
      <c r="E2" s="18"/>
      <c r="F2" s="18"/>
      <c r="G2" s="18"/>
      <c r="H2" s="18"/>
      <c r="I2" s="18"/>
      <c r="J2" s="18"/>
      <c r="K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  <c r="I3" s="18"/>
      <c r="J3" s="18"/>
      <c r="K3" s="18"/>
    </row>
    <row r="4" customFormat="false" ht="19.5" hidden="false" customHeight="true" outlineLevel="0" collapsed="false">
      <c r="B4" s="19" t="s">
        <v>50</v>
      </c>
      <c r="C4" s="19"/>
      <c r="D4" s="19"/>
      <c r="E4" s="19"/>
      <c r="F4" s="19"/>
      <c r="G4" s="19"/>
      <c r="H4" s="19"/>
      <c r="I4" s="19"/>
      <c r="J4" s="19"/>
      <c r="K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  <c r="J5" s="4"/>
      <c r="K5" s="4"/>
    </row>
    <row r="6" customFormat="false" ht="18" hidden="false" customHeight="false" outlineLevel="0" collapsed="false"/>
    <row r="7" customFormat="false" ht="33.75" hidden="false" customHeight="true" outlineLevel="0" collapsed="false">
      <c r="B7" s="31" t="s">
        <v>51</v>
      </c>
      <c r="C7" s="32" t="s">
        <v>52</v>
      </c>
      <c r="D7" s="32" t="s">
        <v>53</v>
      </c>
      <c r="E7" s="32" t="s">
        <v>54</v>
      </c>
      <c r="F7" s="32" t="s">
        <v>55</v>
      </c>
      <c r="G7" s="32" t="s">
        <v>56</v>
      </c>
      <c r="H7" s="32" t="s">
        <v>11</v>
      </c>
      <c r="I7" s="32" t="s">
        <v>57</v>
      </c>
      <c r="J7" s="32" t="s">
        <v>58</v>
      </c>
      <c r="K7" s="32" t="s">
        <v>59</v>
      </c>
    </row>
    <row r="8" customFormat="false" ht="18" hidden="false" customHeight="false" outlineLevel="0" collapsed="false">
      <c r="B8" s="33" t="n">
        <v>1</v>
      </c>
      <c r="C8" s="34" t="n">
        <f aca="false">IF(1&lt;=Lease!$C$10,Lease!$F$8,0)</f>
        <v>432947.667063082</v>
      </c>
      <c r="D8" s="34" t="n">
        <f aca="false">C8*Lease!$C$11</f>
        <v>21647.3833531541</v>
      </c>
      <c r="E8" s="34" t="n">
        <f aca="false">IF(1&lt;=Lease!$C$10,IF(Lease!$C$12="Start of each year",IF(1&lt;Lease!$C$10,Lease!$C$9,0),Lease!$C$9),0)</f>
        <v>100000</v>
      </c>
      <c r="F8" s="34" t="n">
        <f aca="false">C8+D8-E8</f>
        <v>354595.050416236</v>
      </c>
      <c r="G8" s="34" t="n">
        <f aca="false">IF(1&lt;=Lease!$C$10,Lease!$F$11,0)</f>
        <v>86589.5334126164</v>
      </c>
      <c r="H8" s="34" t="n">
        <f aca="false">IF(1&lt;=Lease!$C$10,Lease!$F$10-G8,0)</f>
        <v>346358.133650466</v>
      </c>
      <c r="I8" s="23" t="n">
        <f aca="false">G8+D8</f>
        <v>108236.916765771</v>
      </c>
      <c r="J8" s="23" t="n">
        <f aca="false">IF(1&lt;=Lease!$C$10,Lease!$F$14,0)</f>
        <v>100000</v>
      </c>
      <c r="K8" s="34" t="n">
        <f aca="false">I8-J8</f>
        <v>8236.91676577056</v>
      </c>
    </row>
    <row r="9" customFormat="false" ht="18" hidden="false" customHeight="false" outlineLevel="0" collapsed="false">
      <c r="B9" s="33" t="n">
        <v>2</v>
      </c>
      <c r="C9" s="34" t="n">
        <f aca="false">IF(2&lt;=Lease!$C$10,F8,0)</f>
        <v>354595.050416236</v>
      </c>
      <c r="D9" s="34" t="n">
        <f aca="false">C9*Lease!$C$11</f>
        <v>17729.7525208118</v>
      </c>
      <c r="E9" s="34" t="n">
        <f aca="false">IF(2&lt;=Lease!$C$10,IF(Lease!$C$12="Start of each year",IF(2&lt;Lease!$C$10,Lease!$C$9,0),Lease!$C$9),0)</f>
        <v>100000</v>
      </c>
      <c r="F9" s="34" t="n">
        <f aca="false">C9+D9-E9</f>
        <v>272324.802937048</v>
      </c>
      <c r="G9" s="34" t="n">
        <f aca="false">IF(2&lt;=Lease!$C$10,Lease!$F$11,0)</f>
        <v>86589.5334126164</v>
      </c>
      <c r="H9" s="34" t="n">
        <f aca="false">IF(2&lt;=Lease!$C$10,H8-G9,0)</f>
        <v>259768.600237849</v>
      </c>
      <c r="I9" s="23" t="n">
        <f aca="false">G9+D9</f>
        <v>104319.285933428</v>
      </c>
      <c r="J9" s="23" t="n">
        <f aca="false">IF(2&lt;=Lease!$C$10,Lease!$F$14,0)</f>
        <v>100000</v>
      </c>
      <c r="K9" s="34" t="n">
        <f aca="false">I9-J9</f>
        <v>4319.28593342826</v>
      </c>
    </row>
    <row r="10" customFormat="false" ht="18" hidden="false" customHeight="false" outlineLevel="0" collapsed="false">
      <c r="B10" s="33" t="n">
        <v>3</v>
      </c>
      <c r="C10" s="34" t="n">
        <f aca="false">IF(3&lt;=Lease!$C$10,F9,0)</f>
        <v>272324.802937048</v>
      </c>
      <c r="D10" s="34" t="n">
        <f aca="false">C10*Lease!$C$11</f>
        <v>13616.2401468524</v>
      </c>
      <c r="E10" s="34" t="n">
        <f aca="false">IF(3&lt;=Lease!$C$10,IF(Lease!$C$12="Start of each year",IF(3&lt;Lease!$C$10,Lease!$C$9,0),Lease!$C$9),0)</f>
        <v>100000</v>
      </c>
      <c r="F10" s="34" t="n">
        <f aca="false">C10+D10-E10</f>
        <v>185941.043083901</v>
      </c>
      <c r="G10" s="34" t="n">
        <f aca="false">IF(3&lt;=Lease!$C$10,Lease!$F$11,0)</f>
        <v>86589.5334126164</v>
      </c>
      <c r="H10" s="34" t="n">
        <f aca="false">IF(3&lt;=Lease!$C$10,H9-G10,0)</f>
        <v>173179.066825233</v>
      </c>
      <c r="I10" s="23" t="n">
        <f aca="false">G10+D10</f>
        <v>100205.773559469</v>
      </c>
      <c r="J10" s="23" t="n">
        <f aca="false">IF(3&lt;=Lease!$C$10,Lease!$F$14,0)</f>
        <v>100000</v>
      </c>
      <c r="K10" s="34" t="n">
        <f aca="false">I10-J10</f>
        <v>205.773559468842</v>
      </c>
    </row>
    <row r="11" customFormat="false" ht="18" hidden="false" customHeight="false" outlineLevel="0" collapsed="false">
      <c r="B11" s="33" t="n">
        <v>4</v>
      </c>
      <c r="C11" s="34" t="n">
        <f aca="false">IF(4&lt;=Lease!$C$10,F10,0)</f>
        <v>185941.043083901</v>
      </c>
      <c r="D11" s="34" t="n">
        <f aca="false">C11*Lease!$C$11</f>
        <v>9297.05215419503</v>
      </c>
      <c r="E11" s="34" t="n">
        <f aca="false">IF(4&lt;=Lease!$C$10,IF(Lease!$C$12="Start of each year",IF(4&lt;Lease!$C$10,Lease!$C$9,0),Lease!$C$9),0)</f>
        <v>100000</v>
      </c>
      <c r="F11" s="34" t="n">
        <f aca="false">C11+D11-E11</f>
        <v>95238.0952380956</v>
      </c>
      <c r="G11" s="34" t="n">
        <f aca="false">IF(4&lt;=Lease!$C$10,Lease!$F$11,0)</f>
        <v>86589.5334126164</v>
      </c>
      <c r="H11" s="34" t="n">
        <f aca="false">IF(4&lt;=Lease!$C$10,H10-G11,0)</f>
        <v>86589.5334126164</v>
      </c>
      <c r="I11" s="23" t="n">
        <f aca="false">G11+D11</f>
        <v>95886.5855668115</v>
      </c>
      <c r="J11" s="23" t="n">
        <f aca="false">IF(4&lt;=Lease!$C$10,Lease!$F$14,0)</f>
        <v>100000</v>
      </c>
      <c r="K11" s="34" t="n">
        <f aca="false">I11-J11</f>
        <v>-4113.41443318853</v>
      </c>
    </row>
    <row r="12" customFormat="false" ht="18" hidden="false" customHeight="false" outlineLevel="0" collapsed="false">
      <c r="B12" s="33" t="n">
        <v>5</v>
      </c>
      <c r="C12" s="34" t="n">
        <f aca="false">IF(5&lt;=Lease!$C$10,F11,0)</f>
        <v>95238.0952380956</v>
      </c>
      <c r="D12" s="34" t="n">
        <f aca="false">C12*Lease!$C$11</f>
        <v>4761.90476190478</v>
      </c>
      <c r="E12" s="34" t="n">
        <f aca="false">IF(5&lt;=Lease!$C$10,IF(Lease!$C$12="Start of each year",IF(5&lt;Lease!$C$10,Lease!$C$9,0),Lease!$C$9),0)</f>
        <v>100000</v>
      </c>
      <c r="F12" s="34" t="n">
        <f aca="false">C12+D12-E12</f>
        <v>0</v>
      </c>
      <c r="G12" s="34" t="n">
        <f aca="false">IF(5&lt;=Lease!$C$10,Lease!$F$11,0)</f>
        <v>86589.5334126164</v>
      </c>
      <c r="H12" s="34" t="n">
        <f aca="false">IF(5&lt;=Lease!$C$10,H11-G12,0)</f>
        <v>0</v>
      </c>
      <c r="I12" s="23" t="n">
        <f aca="false">G12+D12</f>
        <v>91351.4381745212</v>
      </c>
      <c r="J12" s="23" t="n">
        <f aca="false">IF(5&lt;=Lease!$C$10,Lease!$F$14,0)</f>
        <v>100000</v>
      </c>
      <c r="K12" s="34" t="n">
        <f aca="false">I12-J12</f>
        <v>-8648.56182547878</v>
      </c>
    </row>
    <row r="13" customFormat="false" ht="18" hidden="false" customHeight="false" outlineLevel="0" collapsed="false">
      <c r="B13" s="33" t="n">
        <v>6</v>
      </c>
      <c r="C13" s="34" t="n">
        <f aca="false">IF(6&lt;=Lease!$C$10,F12,0)</f>
        <v>0</v>
      </c>
      <c r="D13" s="34" t="n">
        <f aca="false">C13*Lease!$C$11</f>
        <v>0</v>
      </c>
      <c r="E13" s="34" t="n">
        <f aca="false">IF(6&lt;=Lease!$C$10,IF(Lease!$C$12="Start of each year",IF(6&lt;Lease!$C$10,Lease!$C$9,0),Lease!$C$9),0)</f>
        <v>0</v>
      </c>
      <c r="F13" s="34" t="n">
        <f aca="false">C13+D13-E13</f>
        <v>0</v>
      </c>
      <c r="G13" s="34" t="n">
        <f aca="false">IF(6&lt;=Lease!$C$10,Lease!$F$11,0)</f>
        <v>0</v>
      </c>
      <c r="H13" s="34" t="n">
        <f aca="false">IF(6&lt;=Lease!$C$10,H12-G13,0)</f>
        <v>0</v>
      </c>
      <c r="I13" s="23" t="n">
        <f aca="false">G13+D13</f>
        <v>0</v>
      </c>
      <c r="J13" s="23" t="n">
        <f aca="false">IF(6&lt;=Lease!$C$10,Lease!$F$14,0)</f>
        <v>0</v>
      </c>
      <c r="K13" s="34" t="n">
        <f aca="false">I13-J13</f>
        <v>0</v>
      </c>
    </row>
    <row r="14" customFormat="false" ht="18" hidden="false" customHeight="false" outlineLevel="0" collapsed="false">
      <c r="B14" s="33" t="n">
        <v>7</v>
      </c>
      <c r="C14" s="34" t="n">
        <f aca="false">IF(7&lt;=Lease!$C$10,F13,0)</f>
        <v>0</v>
      </c>
      <c r="D14" s="34" t="n">
        <f aca="false">C14*Lease!$C$11</f>
        <v>0</v>
      </c>
      <c r="E14" s="34" t="n">
        <f aca="false">IF(7&lt;=Lease!$C$10,IF(Lease!$C$12="Start of each year",IF(7&lt;Lease!$C$10,Lease!$C$9,0),Lease!$C$9),0)</f>
        <v>0</v>
      </c>
      <c r="F14" s="34" t="n">
        <f aca="false">C14+D14-E14</f>
        <v>0</v>
      </c>
      <c r="G14" s="34" t="n">
        <f aca="false">IF(7&lt;=Lease!$C$10,Lease!$F$11,0)</f>
        <v>0</v>
      </c>
      <c r="H14" s="34" t="n">
        <f aca="false">IF(7&lt;=Lease!$C$10,H13-G14,0)</f>
        <v>0</v>
      </c>
      <c r="I14" s="23" t="n">
        <f aca="false">G14+D14</f>
        <v>0</v>
      </c>
      <c r="J14" s="23" t="n">
        <f aca="false">IF(7&lt;=Lease!$C$10,Lease!$F$14,0)</f>
        <v>0</v>
      </c>
      <c r="K14" s="34" t="n">
        <f aca="false">I14-J14</f>
        <v>0</v>
      </c>
    </row>
    <row r="15" customFormat="false" ht="18" hidden="false" customHeight="false" outlineLevel="0" collapsed="false">
      <c r="B15" s="33" t="n">
        <v>8</v>
      </c>
      <c r="C15" s="34" t="n">
        <f aca="false">IF(8&lt;=Lease!$C$10,F14,0)</f>
        <v>0</v>
      </c>
      <c r="D15" s="34" t="n">
        <f aca="false">C15*Lease!$C$11</f>
        <v>0</v>
      </c>
      <c r="E15" s="34" t="n">
        <f aca="false">IF(8&lt;=Lease!$C$10,IF(Lease!$C$12="Start of each year",IF(8&lt;Lease!$C$10,Lease!$C$9,0),Lease!$C$9),0)</f>
        <v>0</v>
      </c>
      <c r="F15" s="34" t="n">
        <f aca="false">C15+D15-E15</f>
        <v>0</v>
      </c>
      <c r="G15" s="34" t="n">
        <f aca="false">IF(8&lt;=Lease!$C$10,Lease!$F$11,0)</f>
        <v>0</v>
      </c>
      <c r="H15" s="34" t="n">
        <f aca="false">IF(8&lt;=Lease!$C$10,H14-G15,0)</f>
        <v>0</v>
      </c>
      <c r="I15" s="23" t="n">
        <f aca="false">G15+D15</f>
        <v>0</v>
      </c>
      <c r="J15" s="23" t="n">
        <f aca="false">IF(8&lt;=Lease!$C$10,Lease!$F$14,0)</f>
        <v>0</v>
      </c>
      <c r="K15" s="34" t="n">
        <f aca="false">I15-J15</f>
        <v>0</v>
      </c>
    </row>
    <row r="16" customFormat="false" ht="18" hidden="false" customHeight="false" outlineLevel="0" collapsed="false">
      <c r="B16" s="33" t="n">
        <v>9</v>
      </c>
      <c r="C16" s="34" t="n">
        <f aca="false">IF(9&lt;=Lease!$C$10,F15,0)</f>
        <v>0</v>
      </c>
      <c r="D16" s="34" t="n">
        <f aca="false">C16*Lease!$C$11</f>
        <v>0</v>
      </c>
      <c r="E16" s="34" t="n">
        <f aca="false">IF(9&lt;=Lease!$C$10,IF(Lease!$C$12="Start of each year",IF(9&lt;Lease!$C$10,Lease!$C$9,0),Lease!$C$9),0)</f>
        <v>0</v>
      </c>
      <c r="F16" s="34" t="n">
        <f aca="false">C16+D16-E16</f>
        <v>0</v>
      </c>
      <c r="G16" s="34" t="n">
        <f aca="false">IF(9&lt;=Lease!$C$10,Lease!$F$11,0)</f>
        <v>0</v>
      </c>
      <c r="H16" s="34" t="n">
        <f aca="false">IF(9&lt;=Lease!$C$10,H15-G16,0)</f>
        <v>0</v>
      </c>
      <c r="I16" s="23" t="n">
        <f aca="false">G16+D16</f>
        <v>0</v>
      </c>
      <c r="J16" s="23" t="n">
        <f aca="false">IF(9&lt;=Lease!$C$10,Lease!$F$14,0)</f>
        <v>0</v>
      </c>
      <c r="K16" s="34" t="n">
        <f aca="false">I16-J16</f>
        <v>0</v>
      </c>
    </row>
    <row r="17" customFormat="false" ht="18" hidden="false" customHeight="false" outlineLevel="0" collapsed="false">
      <c r="B17" s="33" t="n">
        <v>10</v>
      </c>
      <c r="C17" s="34" t="n">
        <f aca="false">IF(10&lt;=Lease!$C$10,F16,0)</f>
        <v>0</v>
      </c>
      <c r="D17" s="34" t="n">
        <f aca="false">C17*Lease!$C$11</f>
        <v>0</v>
      </c>
      <c r="E17" s="34" t="n">
        <f aca="false">IF(10&lt;=Lease!$C$10,IF(Lease!$C$12="Start of each year",IF(10&lt;Lease!$C$10,Lease!$C$9,0),Lease!$C$9),0)</f>
        <v>0</v>
      </c>
      <c r="F17" s="34" t="n">
        <f aca="false">C17+D17-E17</f>
        <v>0</v>
      </c>
      <c r="G17" s="34" t="n">
        <f aca="false">IF(10&lt;=Lease!$C$10,Lease!$F$11,0)</f>
        <v>0</v>
      </c>
      <c r="H17" s="34" t="n">
        <f aca="false">IF(10&lt;=Lease!$C$10,H16-G17,0)</f>
        <v>0</v>
      </c>
      <c r="I17" s="23" t="n">
        <f aca="false">G17+D17</f>
        <v>0</v>
      </c>
      <c r="J17" s="23" t="n">
        <f aca="false">IF(10&lt;=Lease!$C$10,Lease!$F$14,0)</f>
        <v>0</v>
      </c>
      <c r="K17" s="34" t="n">
        <f aca="false">I17-J17</f>
        <v>0</v>
      </c>
    </row>
    <row r="18" customFormat="false" ht="18" hidden="false" customHeight="false" outlineLevel="0" collapsed="false">
      <c r="B18" s="33" t="n">
        <v>11</v>
      </c>
      <c r="C18" s="34" t="n">
        <f aca="false">IF(11&lt;=Lease!$C$10,F17,0)</f>
        <v>0</v>
      </c>
      <c r="D18" s="34" t="n">
        <f aca="false">C18*Lease!$C$11</f>
        <v>0</v>
      </c>
      <c r="E18" s="34" t="n">
        <f aca="false">IF(11&lt;=Lease!$C$10,IF(Lease!$C$12="Start of each year",IF(11&lt;Lease!$C$10,Lease!$C$9,0),Lease!$C$9),0)</f>
        <v>0</v>
      </c>
      <c r="F18" s="34" t="n">
        <f aca="false">C18+D18-E18</f>
        <v>0</v>
      </c>
      <c r="G18" s="34" t="n">
        <f aca="false">IF(11&lt;=Lease!$C$10,Lease!$F$11,0)</f>
        <v>0</v>
      </c>
      <c r="H18" s="34" t="n">
        <f aca="false">IF(11&lt;=Lease!$C$10,H17-G18,0)</f>
        <v>0</v>
      </c>
      <c r="I18" s="23" t="n">
        <f aca="false">G18+D18</f>
        <v>0</v>
      </c>
      <c r="J18" s="23" t="n">
        <f aca="false">IF(11&lt;=Lease!$C$10,Lease!$F$14,0)</f>
        <v>0</v>
      </c>
      <c r="K18" s="34" t="n">
        <f aca="false">I18-J18</f>
        <v>0</v>
      </c>
    </row>
    <row r="19" customFormat="false" ht="18" hidden="false" customHeight="false" outlineLevel="0" collapsed="false">
      <c r="B19" s="33" t="n">
        <v>12</v>
      </c>
      <c r="C19" s="34" t="n">
        <f aca="false">IF(12&lt;=Lease!$C$10,F18,0)</f>
        <v>0</v>
      </c>
      <c r="D19" s="34" t="n">
        <f aca="false">C19*Lease!$C$11</f>
        <v>0</v>
      </c>
      <c r="E19" s="34" t="n">
        <f aca="false">IF(12&lt;=Lease!$C$10,IF(Lease!$C$12="Start of each year",IF(12&lt;Lease!$C$10,Lease!$C$9,0),Lease!$C$9),0)</f>
        <v>0</v>
      </c>
      <c r="F19" s="34" t="n">
        <f aca="false">C19+D19-E19</f>
        <v>0</v>
      </c>
      <c r="G19" s="34" t="n">
        <f aca="false">IF(12&lt;=Lease!$C$10,Lease!$F$11,0)</f>
        <v>0</v>
      </c>
      <c r="H19" s="34" t="n">
        <f aca="false">IF(12&lt;=Lease!$C$10,H18-G19,0)</f>
        <v>0</v>
      </c>
      <c r="I19" s="23" t="n">
        <f aca="false">G19+D19</f>
        <v>0</v>
      </c>
      <c r="J19" s="23" t="n">
        <f aca="false">IF(12&lt;=Lease!$C$10,Lease!$F$14,0)</f>
        <v>0</v>
      </c>
      <c r="K19" s="34" t="n">
        <f aca="false">I19-J19</f>
        <v>0</v>
      </c>
    </row>
    <row r="20" customFormat="false" ht="18" hidden="false" customHeight="false" outlineLevel="0" collapsed="false">
      <c r="B20" s="33" t="n">
        <v>13</v>
      </c>
      <c r="C20" s="34" t="n">
        <f aca="false">IF(13&lt;=Lease!$C$10,F19,0)</f>
        <v>0</v>
      </c>
      <c r="D20" s="34" t="n">
        <f aca="false">C20*Lease!$C$11</f>
        <v>0</v>
      </c>
      <c r="E20" s="34" t="n">
        <f aca="false">IF(13&lt;=Lease!$C$10,IF(Lease!$C$12="Start of each year",IF(13&lt;Lease!$C$10,Lease!$C$9,0),Lease!$C$9),0)</f>
        <v>0</v>
      </c>
      <c r="F20" s="34" t="n">
        <f aca="false">C20+D20-E20</f>
        <v>0</v>
      </c>
      <c r="G20" s="34" t="n">
        <f aca="false">IF(13&lt;=Lease!$C$10,Lease!$F$11,0)</f>
        <v>0</v>
      </c>
      <c r="H20" s="34" t="n">
        <f aca="false">IF(13&lt;=Lease!$C$10,H19-G20,0)</f>
        <v>0</v>
      </c>
      <c r="I20" s="23" t="n">
        <f aca="false">G20+D20</f>
        <v>0</v>
      </c>
      <c r="J20" s="23" t="n">
        <f aca="false">IF(13&lt;=Lease!$C$10,Lease!$F$14,0)</f>
        <v>0</v>
      </c>
      <c r="K20" s="34" t="n">
        <f aca="false">I20-J20</f>
        <v>0</v>
      </c>
    </row>
    <row r="21" customFormat="false" ht="18" hidden="false" customHeight="false" outlineLevel="0" collapsed="false">
      <c r="B21" s="33" t="n">
        <v>14</v>
      </c>
      <c r="C21" s="34" t="n">
        <f aca="false">IF(14&lt;=Lease!$C$10,F20,0)</f>
        <v>0</v>
      </c>
      <c r="D21" s="34" t="n">
        <f aca="false">C21*Lease!$C$11</f>
        <v>0</v>
      </c>
      <c r="E21" s="34" t="n">
        <f aca="false">IF(14&lt;=Lease!$C$10,IF(Lease!$C$12="Start of each year",IF(14&lt;Lease!$C$10,Lease!$C$9,0),Lease!$C$9),0)</f>
        <v>0</v>
      </c>
      <c r="F21" s="34" t="n">
        <f aca="false">C21+D21-E21</f>
        <v>0</v>
      </c>
      <c r="G21" s="34" t="n">
        <f aca="false">IF(14&lt;=Lease!$C$10,Lease!$F$11,0)</f>
        <v>0</v>
      </c>
      <c r="H21" s="34" t="n">
        <f aca="false">IF(14&lt;=Lease!$C$10,H20-G21,0)</f>
        <v>0</v>
      </c>
      <c r="I21" s="23" t="n">
        <f aca="false">G21+D21</f>
        <v>0</v>
      </c>
      <c r="J21" s="23" t="n">
        <f aca="false">IF(14&lt;=Lease!$C$10,Lease!$F$14,0)</f>
        <v>0</v>
      </c>
      <c r="K21" s="34" t="n">
        <f aca="false">I21-J21</f>
        <v>0</v>
      </c>
    </row>
    <row r="22" customFormat="false" ht="18" hidden="false" customHeight="false" outlineLevel="0" collapsed="false">
      <c r="B22" s="33" t="n">
        <v>15</v>
      </c>
      <c r="C22" s="34" t="n">
        <f aca="false">IF(15&lt;=Lease!$C$10,F21,0)</f>
        <v>0</v>
      </c>
      <c r="D22" s="34" t="n">
        <f aca="false">C22*Lease!$C$11</f>
        <v>0</v>
      </c>
      <c r="E22" s="34" t="n">
        <f aca="false">IF(15&lt;=Lease!$C$10,IF(Lease!$C$12="Start of each year",IF(15&lt;Lease!$C$10,Lease!$C$9,0),Lease!$C$9),0)</f>
        <v>0</v>
      </c>
      <c r="F22" s="34" t="n">
        <f aca="false">C22+D22-E22</f>
        <v>0</v>
      </c>
      <c r="G22" s="34" t="n">
        <f aca="false">IF(15&lt;=Lease!$C$10,Lease!$F$11,0)</f>
        <v>0</v>
      </c>
      <c r="H22" s="34" t="n">
        <f aca="false">IF(15&lt;=Lease!$C$10,H21-G22,0)</f>
        <v>0</v>
      </c>
      <c r="I22" s="23" t="n">
        <f aca="false">G22+D22</f>
        <v>0</v>
      </c>
      <c r="J22" s="23" t="n">
        <f aca="false">IF(15&lt;=Lease!$C$10,Lease!$F$14,0)</f>
        <v>0</v>
      </c>
      <c r="K22" s="34" t="n">
        <f aca="false">I22-J22</f>
        <v>0</v>
      </c>
    </row>
    <row r="23" customFormat="false" ht="18" hidden="false" customHeight="false" outlineLevel="0" collapsed="false">
      <c r="B23" s="33" t="n">
        <v>16</v>
      </c>
      <c r="C23" s="34" t="n">
        <f aca="false">IF(16&lt;=Lease!$C$10,F22,0)</f>
        <v>0</v>
      </c>
      <c r="D23" s="34" t="n">
        <f aca="false">C23*Lease!$C$11</f>
        <v>0</v>
      </c>
      <c r="E23" s="34" t="n">
        <f aca="false">IF(16&lt;=Lease!$C$10,IF(Lease!$C$12="Start of each year",IF(16&lt;Lease!$C$10,Lease!$C$9,0),Lease!$C$9),0)</f>
        <v>0</v>
      </c>
      <c r="F23" s="34" t="n">
        <f aca="false">C23+D23-E23</f>
        <v>0</v>
      </c>
      <c r="G23" s="34" t="n">
        <f aca="false">IF(16&lt;=Lease!$C$10,Lease!$F$11,0)</f>
        <v>0</v>
      </c>
      <c r="H23" s="34" t="n">
        <f aca="false">IF(16&lt;=Lease!$C$10,H22-G23,0)</f>
        <v>0</v>
      </c>
      <c r="I23" s="23" t="n">
        <f aca="false">G23+D23</f>
        <v>0</v>
      </c>
      <c r="J23" s="23" t="n">
        <f aca="false">IF(16&lt;=Lease!$C$10,Lease!$F$14,0)</f>
        <v>0</v>
      </c>
      <c r="K23" s="34" t="n">
        <f aca="false">I23-J23</f>
        <v>0</v>
      </c>
    </row>
    <row r="24" customFormat="false" ht="18" hidden="false" customHeight="false" outlineLevel="0" collapsed="false">
      <c r="B24" s="33" t="n">
        <v>17</v>
      </c>
      <c r="C24" s="34" t="n">
        <f aca="false">IF(17&lt;=Lease!$C$10,F23,0)</f>
        <v>0</v>
      </c>
      <c r="D24" s="34" t="n">
        <f aca="false">C24*Lease!$C$11</f>
        <v>0</v>
      </c>
      <c r="E24" s="34" t="n">
        <f aca="false">IF(17&lt;=Lease!$C$10,IF(Lease!$C$12="Start of each year",IF(17&lt;Lease!$C$10,Lease!$C$9,0),Lease!$C$9),0)</f>
        <v>0</v>
      </c>
      <c r="F24" s="34" t="n">
        <f aca="false">C24+D24-E24</f>
        <v>0</v>
      </c>
      <c r="G24" s="34" t="n">
        <f aca="false">IF(17&lt;=Lease!$C$10,Lease!$F$11,0)</f>
        <v>0</v>
      </c>
      <c r="H24" s="34" t="n">
        <f aca="false">IF(17&lt;=Lease!$C$10,H23-G24,0)</f>
        <v>0</v>
      </c>
      <c r="I24" s="23" t="n">
        <f aca="false">G24+D24</f>
        <v>0</v>
      </c>
      <c r="J24" s="23" t="n">
        <f aca="false">IF(17&lt;=Lease!$C$10,Lease!$F$14,0)</f>
        <v>0</v>
      </c>
      <c r="K24" s="34" t="n">
        <f aca="false">I24-J24</f>
        <v>0</v>
      </c>
    </row>
    <row r="25" customFormat="false" ht="18" hidden="false" customHeight="false" outlineLevel="0" collapsed="false">
      <c r="B25" s="33" t="n">
        <v>18</v>
      </c>
      <c r="C25" s="34" t="n">
        <f aca="false">IF(18&lt;=Lease!$C$10,F24,0)</f>
        <v>0</v>
      </c>
      <c r="D25" s="34" t="n">
        <f aca="false">C25*Lease!$C$11</f>
        <v>0</v>
      </c>
      <c r="E25" s="34" t="n">
        <f aca="false">IF(18&lt;=Lease!$C$10,IF(Lease!$C$12="Start of each year",IF(18&lt;Lease!$C$10,Lease!$C$9,0),Lease!$C$9),0)</f>
        <v>0</v>
      </c>
      <c r="F25" s="34" t="n">
        <f aca="false">C25+D25-E25</f>
        <v>0</v>
      </c>
      <c r="G25" s="34" t="n">
        <f aca="false">IF(18&lt;=Lease!$C$10,Lease!$F$11,0)</f>
        <v>0</v>
      </c>
      <c r="H25" s="34" t="n">
        <f aca="false">IF(18&lt;=Lease!$C$10,H24-G25,0)</f>
        <v>0</v>
      </c>
      <c r="I25" s="23" t="n">
        <f aca="false">G25+D25</f>
        <v>0</v>
      </c>
      <c r="J25" s="23" t="n">
        <f aca="false">IF(18&lt;=Lease!$C$10,Lease!$F$14,0)</f>
        <v>0</v>
      </c>
      <c r="K25" s="34" t="n">
        <f aca="false">I25-J25</f>
        <v>0</v>
      </c>
    </row>
    <row r="26" customFormat="false" ht="18" hidden="false" customHeight="false" outlineLevel="0" collapsed="false">
      <c r="B26" s="33" t="n">
        <v>19</v>
      </c>
      <c r="C26" s="34" t="n">
        <f aca="false">IF(19&lt;=Lease!$C$10,F25,0)</f>
        <v>0</v>
      </c>
      <c r="D26" s="34" t="n">
        <f aca="false">C26*Lease!$C$11</f>
        <v>0</v>
      </c>
      <c r="E26" s="34" t="n">
        <f aca="false">IF(19&lt;=Lease!$C$10,IF(Lease!$C$12="Start of each year",IF(19&lt;Lease!$C$10,Lease!$C$9,0),Lease!$C$9),0)</f>
        <v>0</v>
      </c>
      <c r="F26" s="34" t="n">
        <f aca="false">C26+D26-E26</f>
        <v>0</v>
      </c>
      <c r="G26" s="34" t="n">
        <f aca="false">IF(19&lt;=Lease!$C$10,Lease!$F$11,0)</f>
        <v>0</v>
      </c>
      <c r="H26" s="34" t="n">
        <f aca="false">IF(19&lt;=Lease!$C$10,H25-G26,0)</f>
        <v>0</v>
      </c>
      <c r="I26" s="23" t="n">
        <f aca="false">G26+D26</f>
        <v>0</v>
      </c>
      <c r="J26" s="23" t="n">
        <f aca="false">IF(19&lt;=Lease!$C$10,Lease!$F$14,0)</f>
        <v>0</v>
      </c>
      <c r="K26" s="34" t="n">
        <f aca="false">I26-J26</f>
        <v>0</v>
      </c>
    </row>
    <row r="27" customFormat="false" ht="18" hidden="false" customHeight="false" outlineLevel="0" collapsed="false">
      <c r="B27" s="33" t="n">
        <v>20</v>
      </c>
      <c r="C27" s="34" t="n">
        <f aca="false">IF(20&lt;=Lease!$C$10,F26,0)</f>
        <v>0</v>
      </c>
      <c r="D27" s="34" t="n">
        <f aca="false">C27*Lease!$C$11</f>
        <v>0</v>
      </c>
      <c r="E27" s="34" t="n">
        <f aca="false">IF(20&lt;=Lease!$C$10,IF(Lease!$C$12="Start of each year",IF(20&lt;Lease!$C$10,Lease!$C$9,0),Lease!$C$9),0)</f>
        <v>0</v>
      </c>
      <c r="F27" s="34" t="n">
        <f aca="false">C27+D27-E27</f>
        <v>0</v>
      </c>
      <c r="G27" s="34" t="n">
        <f aca="false">IF(20&lt;=Lease!$C$10,Lease!$F$11,0)</f>
        <v>0</v>
      </c>
      <c r="H27" s="34" t="n">
        <f aca="false">IF(20&lt;=Lease!$C$10,H26-G27,0)</f>
        <v>0</v>
      </c>
      <c r="I27" s="23" t="n">
        <f aca="false">G27+D27</f>
        <v>0</v>
      </c>
      <c r="J27" s="23" t="n">
        <f aca="false">IF(20&lt;=Lease!$C$10,Lease!$F$14,0)</f>
        <v>0</v>
      </c>
      <c r="K27" s="34" t="n">
        <f aca="false">I27-J27</f>
        <v>0</v>
      </c>
    </row>
    <row r="28" customFormat="false" ht="18" hidden="false" customHeight="false" outlineLevel="0" collapsed="false">
      <c r="B28" s="31" t="s">
        <v>60</v>
      </c>
      <c r="C28" s="3"/>
      <c r="D28" s="35" t="n">
        <f aca="false">SUM(D8:D27)</f>
        <v>67052.3329369181</v>
      </c>
      <c r="E28" s="35" t="n">
        <f aca="false">SUM(E8:E27)</f>
        <v>500000</v>
      </c>
      <c r="F28" s="3"/>
      <c r="G28" s="35" t="n">
        <f aca="false">SUM(G8:G27)</f>
        <v>432947.667063082</v>
      </c>
      <c r="H28" s="3"/>
      <c r="I28" s="35" t="n">
        <f aca="false">SUM(I8:I27)</f>
        <v>500000</v>
      </c>
      <c r="J28" s="35" t="n">
        <f aca="false">SUM(J8:J27)</f>
        <v>500000</v>
      </c>
      <c r="K28" s="35" t="n">
        <f aca="false">SUM(K8:K27)</f>
        <v>3.34694050252438E-010</v>
      </c>
    </row>
    <row r="29" customFormat="false" ht="18" hidden="false" customHeight="false" outlineLevel="0" collapsed="false"/>
    <row r="30" customFormat="false" ht="18" hidden="false" customHeight="true" outlineLevel="0" collapsed="false">
      <c r="B30" s="28" t="s">
        <v>61</v>
      </c>
      <c r="C30" s="28"/>
      <c r="D30" s="28"/>
      <c r="E30" s="28"/>
      <c r="F30" s="28"/>
      <c r="G30" s="28"/>
      <c r="H30" s="28"/>
      <c r="I30" s="28"/>
      <c r="J30" s="28"/>
      <c r="K30" s="28"/>
    </row>
    <row r="31" customFormat="false" ht="18" hidden="false" customHeight="false" outlineLevel="0" collapsed="false">
      <c r="B31" s="28"/>
      <c r="C31" s="28"/>
      <c r="D31" s="28"/>
      <c r="E31" s="28"/>
      <c r="F31" s="28"/>
      <c r="G31" s="28"/>
      <c r="H31" s="28"/>
      <c r="I31" s="28"/>
      <c r="J31" s="28"/>
      <c r="K31" s="28"/>
    </row>
  </sheetData>
  <mergeCells count="3">
    <mergeCell ref="B2:K3"/>
    <mergeCell ref="B4:K4"/>
    <mergeCell ref="B30:K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0"/>
    <col collapsed="false" customWidth="true" hidden="false" outlineLevel="0" max="3" min="3" style="0" width="18"/>
    <col collapsed="false" customWidth="true" hidden="false" outlineLevel="0" max="4" min="4" style="0" width="4"/>
    <col collapsed="false" customWidth="true" hidden="false" outlineLevel="0" max="5" min="5" style="0" width="46"/>
    <col collapsed="false" customWidth="true" hidden="false" outlineLevel="0" max="6" min="6" style="0" width="18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62</v>
      </c>
      <c r="C2" s="18"/>
      <c r="D2" s="18"/>
      <c r="E2" s="18"/>
      <c r="F2" s="18"/>
    </row>
    <row r="3" customFormat="false" ht="19.5" hidden="false" customHeight="true" outlineLevel="0" collapsed="false">
      <c r="B3" s="18"/>
      <c r="C3" s="18"/>
      <c r="D3" s="18"/>
      <c r="E3" s="18"/>
      <c r="F3" s="18"/>
    </row>
    <row r="4" customFormat="false" ht="19.5" hidden="false" customHeight="true" outlineLevel="0" collapsed="false">
      <c r="B4" s="19" t="s">
        <v>63</v>
      </c>
      <c r="C4" s="19"/>
      <c r="D4" s="19"/>
      <c r="E4" s="19"/>
      <c r="F4" s="19"/>
    </row>
    <row r="5" customFormat="false" ht="3.75" hidden="false" customHeight="true" outlineLevel="0" collapsed="false">
      <c r="B5" s="4"/>
      <c r="C5" s="4"/>
      <c r="D5" s="4"/>
      <c r="E5" s="4"/>
      <c r="F5" s="4"/>
    </row>
    <row r="6" customFormat="false" ht="18" hidden="false" customHeight="false" outlineLevel="0" collapsed="false"/>
    <row r="7" customFormat="false" ht="18" hidden="false" customHeight="false" outlineLevel="0" collapsed="false">
      <c r="B7" s="20" t="s">
        <v>27</v>
      </c>
      <c r="E7" s="20" t="s">
        <v>28</v>
      </c>
    </row>
    <row r="8" customFormat="false" ht="18" hidden="false" customHeight="false" outlineLevel="0" collapsed="false">
      <c r="B8" s="21" t="s">
        <v>64</v>
      </c>
      <c r="C8" s="26" t="n">
        <v>3</v>
      </c>
      <c r="E8" s="21" t="s">
        <v>65</v>
      </c>
      <c r="F8" s="23" t="n">
        <f aca="false">INDEX(Schedule!F8:F27,C8)</f>
        <v>185941.043083901</v>
      </c>
    </row>
    <row r="9" customFormat="false" ht="18" hidden="false" customHeight="false" outlineLevel="0" collapsed="false">
      <c r="B9" s="21" t="s">
        <v>66</v>
      </c>
      <c r="C9" s="26" t="n">
        <v>5</v>
      </c>
      <c r="E9" s="21" t="s">
        <v>67</v>
      </c>
      <c r="F9" s="23" t="n">
        <f aca="false">INDEX(Schedule!H8:H27,C8)</f>
        <v>173179.066825233</v>
      </c>
    </row>
    <row r="10" customFormat="false" ht="18" hidden="false" customHeight="false" outlineLevel="0" collapsed="false">
      <c r="B10" s="21" t="s">
        <v>68</v>
      </c>
      <c r="C10" s="24" t="n">
        <v>100000</v>
      </c>
      <c r="E10" s="21" t="s">
        <v>69</v>
      </c>
      <c r="F10" s="23" t="n">
        <f aca="false">PV(C11,C9,-C10)</f>
        <v>421236.378556572</v>
      </c>
    </row>
    <row r="11" customFormat="false" ht="18" hidden="false" customHeight="false" outlineLevel="0" collapsed="false">
      <c r="B11" s="21" t="s">
        <v>70</v>
      </c>
      <c r="C11" s="27" t="n">
        <v>0.06</v>
      </c>
      <c r="E11" s="21" t="s">
        <v>71</v>
      </c>
      <c r="F11" s="23" t="n">
        <f aca="false">F10-F8</f>
        <v>235295.335472671</v>
      </c>
    </row>
    <row r="12" customFormat="false" ht="18" hidden="false" customHeight="false" outlineLevel="0" collapsed="false">
      <c r="E12" s="21" t="s">
        <v>72</v>
      </c>
      <c r="F12" s="23" t="n">
        <f aca="false">F9+F11</f>
        <v>408474.402297904</v>
      </c>
    </row>
    <row r="13" customFormat="false" ht="18" hidden="false" customHeight="false" outlineLevel="0" collapsed="false">
      <c r="B13" s="29" t="s">
        <v>73</v>
      </c>
      <c r="C13" s="30" t="str">
        <f aca="false">IF(AND(C8&gt;=1,C8&lt;Lease!C10),"✓ OK","✗ Choose an earlier year")</f>
        <v>✓ OK</v>
      </c>
      <c r="E13" s="21" t="s">
        <v>74</v>
      </c>
      <c r="F13" s="23" t="n">
        <f aca="false">IF(C9&gt;0,F12/C9,0)</f>
        <v>81694.8804595808</v>
      </c>
    </row>
    <row r="14" customFormat="false" ht="18" hidden="false" customHeight="false" outlineLevel="0" collapsed="false">
      <c r="B14" s="29" t="s">
        <v>75</v>
      </c>
      <c r="C14" s="30" t="str">
        <f aca="false">IF(F12&gt;=0,"✓ OK","✗ Check: a decrease in scope needs partial derecognition")</f>
        <v>✓ OK</v>
      </c>
      <c r="E14" s="21" t="s">
        <v>76</v>
      </c>
      <c r="F14" s="23" t="n">
        <f aca="false">F10*C11</f>
        <v>25274.1827133943</v>
      </c>
    </row>
    <row r="15" customFormat="false" ht="18" hidden="false" customHeight="false" outlineLevel="0" collapsed="false"/>
    <row r="16" customFormat="false" ht="18" hidden="false" customHeight="true" outlineLevel="0" collapsed="false">
      <c r="B16" s="28" t="s">
        <v>77</v>
      </c>
      <c r="C16" s="28"/>
      <c r="D16" s="28"/>
      <c r="E16" s="28"/>
      <c r="F16" s="28"/>
    </row>
    <row r="17" customFormat="false" ht="18" hidden="false" customHeight="false" outlineLevel="0" collapsed="false">
      <c r="B17" s="28"/>
      <c r="C17" s="28"/>
      <c r="D17" s="28"/>
      <c r="E17" s="28"/>
      <c r="F17" s="28"/>
    </row>
    <row r="18" customFormat="false" ht="18" hidden="false" customHeight="false" outlineLevel="0" collapsed="false">
      <c r="B18" s="28"/>
      <c r="C18" s="28"/>
      <c r="D18" s="28"/>
      <c r="E18" s="28"/>
      <c r="F18" s="28"/>
    </row>
  </sheetData>
  <mergeCells count="3">
    <mergeCell ref="B2:F3"/>
    <mergeCell ref="B4:F4"/>
    <mergeCell ref="B16:F18"/>
  </mergeCells>
  <conditionalFormatting sqref="C13">
    <cfRule type="expression" priority="2" aboveAverage="0" equalAverage="0" bottom="0" percent="0" rank="0" text="" dxfId="0">
      <formula>LEFT(C13,1)="✓"</formula>
    </cfRule>
    <cfRule type="expression" priority="3" aboveAverage="0" equalAverage="0" bottom="0" percent="0" rank="0" text="" dxfId="1">
      <formula>LEFT(C13,1)&lt;&gt;"✓"</formula>
    </cfRule>
  </conditionalFormatting>
  <conditionalFormatting sqref="C14">
    <cfRule type="expression" priority="4" aboveAverage="0" equalAverage="0" bottom="0" percent="0" rank="0" text="" dxfId="0">
      <formula>LEFT(C14,1)="✓"</formula>
    </cfRule>
    <cfRule type="expression" priority="5" aboveAverage="0" equalAverage="0" bottom="0" percent="0" rank="0" text="" dxfId="1">
      <formula>LEFT(C14,1)&lt;&gt;"✓"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I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8"/>
    <col collapsed="false" customWidth="true" hidden="false" outlineLevel="0" max="7" min="3" style="0" width="16"/>
    <col collapsed="false" customWidth="true" hidden="false" outlineLevel="0" max="8" min="8" style="0" width="18"/>
    <col collapsed="false" customWidth="true" hidden="false" outlineLevel="0" max="9" min="9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78</v>
      </c>
      <c r="C2" s="18"/>
      <c r="D2" s="18"/>
      <c r="E2" s="18"/>
      <c r="F2" s="18"/>
      <c r="G2" s="18"/>
      <c r="H2" s="18"/>
      <c r="I2" s="18"/>
    </row>
    <row r="3" customFormat="false" ht="19.5" hidden="false" customHeight="true" outlineLevel="0" collapsed="false">
      <c r="B3" s="18"/>
      <c r="C3" s="18"/>
      <c r="D3" s="18"/>
      <c r="E3" s="18"/>
      <c r="F3" s="18"/>
      <c r="G3" s="18"/>
      <c r="H3" s="18"/>
      <c r="I3" s="18"/>
    </row>
    <row r="4" customFormat="false" ht="19.5" hidden="false" customHeight="true" outlineLevel="0" collapsed="false">
      <c r="B4" s="19" t="s">
        <v>79</v>
      </c>
      <c r="C4" s="19"/>
      <c r="D4" s="19"/>
      <c r="E4" s="19"/>
      <c r="F4" s="19"/>
      <c r="G4" s="19"/>
      <c r="H4" s="19"/>
      <c r="I4" s="19"/>
    </row>
    <row r="5" customFormat="false" ht="3.75" hidden="false" customHeight="true" outlineLevel="0" collapsed="false">
      <c r="B5" s="4"/>
      <c r="C5" s="4"/>
      <c r="D5" s="4"/>
      <c r="E5" s="4"/>
      <c r="F5" s="4"/>
      <c r="G5" s="4"/>
      <c r="H5" s="4"/>
      <c r="I5" s="4"/>
    </row>
    <row r="6" customFormat="false" ht="18" hidden="false" customHeight="false" outlineLevel="0" collapsed="false"/>
    <row r="7" customFormat="false" ht="33.75" hidden="false" customHeight="true" outlineLevel="0" collapsed="false">
      <c r="B7" s="31" t="s">
        <v>51</v>
      </c>
      <c r="C7" s="32" t="s">
        <v>52</v>
      </c>
      <c r="D7" s="32" t="s">
        <v>80</v>
      </c>
      <c r="E7" s="32" t="s">
        <v>81</v>
      </c>
      <c r="F7" s="32" t="s">
        <v>55</v>
      </c>
      <c r="G7" s="32" t="s">
        <v>82</v>
      </c>
      <c r="H7" s="32" t="s">
        <v>83</v>
      </c>
      <c r="I7" s="32" t="s">
        <v>84</v>
      </c>
    </row>
    <row r="8" customFormat="false" ht="18" hidden="false" customHeight="false" outlineLevel="0" collapsed="false">
      <c r="B8" s="33" t="n">
        <v>1</v>
      </c>
      <c r="C8" s="34" t="n">
        <f aca="false">Schedule!C8</f>
        <v>432947.667063082</v>
      </c>
      <c r="D8" s="34" t="n">
        <f aca="false">Schedule!D8</f>
        <v>21647.3833531541</v>
      </c>
      <c r="E8" s="34" t="n">
        <f aca="false">Schedule!E8</f>
        <v>100000</v>
      </c>
      <c r="F8" s="34" t="n">
        <f aca="false">Schedule!F8</f>
        <v>354595.050416236</v>
      </c>
      <c r="G8" s="34" t="n">
        <f aca="false">IF(1&lt;=Lease!$C$10,Lease!$F$14,0)</f>
        <v>100000</v>
      </c>
      <c r="H8" s="34" t="n">
        <f aca="false">G8-D8</f>
        <v>78352.6166468459</v>
      </c>
      <c r="I8" s="23" t="n">
        <f aca="false">IF(1&lt;=Lease!$C$10,Lease!$F$10-H8,0)</f>
        <v>354595.050416236</v>
      </c>
    </row>
    <row r="9" customFormat="false" ht="18" hidden="false" customHeight="false" outlineLevel="0" collapsed="false">
      <c r="B9" s="33" t="n">
        <v>2</v>
      </c>
      <c r="C9" s="34" t="n">
        <f aca="false">Schedule!C9</f>
        <v>354595.050416236</v>
      </c>
      <c r="D9" s="34" t="n">
        <f aca="false">Schedule!D9</f>
        <v>17729.7525208118</v>
      </c>
      <c r="E9" s="34" t="n">
        <f aca="false">Schedule!E9</f>
        <v>100000</v>
      </c>
      <c r="F9" s="34" t="n">
        <f aca="false">Schedule!F9</f>
        <v>272324.802937048</v>
      </c>
      <c r="G9" s="34" t="n">
        <f aca="false">IF(2&lt;=Lease!$C$10,Lease!$F$14,0)</f>
        <v>100000</v>
      </c>
      <c r="H9" s="34" t="n">
        <f aca="false">G9-D9</f>
        <v>82270.2474791882</v>
      </c>
      <c r="I9" s="23" t="n">
        <f aca="false">IF(2&lt;=Lease!$C$10,I8-H9,0)</f>
        <v>272324.802937048</v>
      </c>
    </row>
    <row r="10" customFormat="false" ht="18" hidden="false" customHeight="false" outlineLevel="0" collapsed="false">
      <c r="B10" s="33" t="n">
        <v>3</v>
      </c>
      <c r="C10" s="34" t="n">
        <f aca="false">Schedule!C10</f>
        <v>272324.802937048</v>
      </c>
      <c r="D10" s="34" t="n">
        <f aca="false">Schedule!D10</f>
        <v>13616.2401468524</v>
      </c>
      <c r="E10" s="34" t="n">
        <f aca="false">Schedule!E10</f>
        <v>100000</v>
      </c>
      <c r="F10" s="34" t="n">
        <f aca="false">Schedule!F10</f>
        <v>185941.043083901</v>
      </c>
      <c r="G10" s="34" t="n">
        <f aca="false">IF(3&lt;=Lease!$C$10,Lease!$F$14,0)</f>
        <v>100000</v>
      </c>
      <c r="H10" s="34" t="n">
        <f aca="false">G10-D10</f>
        <v>86383.7598531476</v>
      </c>
      <c r="I10" s="23" t="n">
        <f aca="false">IF(3&lt;=Lease!$C$10,I9-H10,0)</f>
        <v>185941.043083901</v>
      </c>
    </row>
    <row r="11" customFormat="false" ht="18" hidden="false" customHeight="false" outlineLevel="0" collapsed="false">
      <c r="B11" s="33" t="n">
        <v>4</v>
      </c>
      <c r="C11" s="34" t="n">
        <f aca="false">Schedule!C11</f>
        <v>185941.043083901</v>
      </c>
      <c r="D11" s="34" t="n">
        <f aca="false">Schedule!D11</f>
        <v>9297.05215419503</v>
      </c>
      <c r="E11" s="34" t="n">
        <f aca="false">Schedule!E11</f>
        <v>100000</v>
      </c>
      <c r="F11" s="34" t="n">
        <f aca="false">Schedule!F11</f>
        <v>95238.0952380956</v>
      </c>
      <c r="G11" s="34" t="n">
        <f aca="false">IF(4&lt;=Lease!$C$10,Lease!$F$14,0)</f>
        <v>100000</v>
      </c>
      <c r="H11" s="34" t="n">
        <f aca="false">G11-D11</f>
        <v>90702.947845805</v>
      </c>
      <c r="I11" s="23" t="n">
        <f aca="false">IF(4&lt;=Lease!$C$10,I10-H11,0)</f>
        <v>95238.0952380956</v>
      </c>
    </row>
    <row r="12" customFormat="false" ht="18" hidden="false" customHeight="false" outlineLevel="0" collapsed="false">
      <c r="B12" s="33" t="n">
        <v>5</v>
      </c>
      <c r="C12" s="34" t="n">
        <f aca="false">Schedule!C12</f>
        <v>95238.0952380956</v>
      </c>
      <c r="D12" s="34" t="n">
        <f aca="false">Schedule!D12</f>
        <v>4761.90476190478</v>
      </c>
      <c r="E12" s="34" t="n">
        <f aca="false">Schedule!E12</f>
        <v>100000</v>
      </c>
      <c r="F12" s="34" t="n">
        <f aca="false">Schedule!F12</f>
        <v>0</v>
      </c>
      <c r="G12" s="34" t="n">
        <f aca="false">IF(5&lt;=Lease!$C$10,Lease!$F$14,0)</f>
        <v>100000</v>
      </c>
      <c r="H12" s="34" t="n">
        <f aca="false">G12-D12</f>
        <v>95238.0952380952</v>
      </c>
      <c r="I12" s="23" t="n">
        <f aca="false">IF(5&lt;=Lease!$C$10,I11-H12,0)</f>
        <v>0</v>
      </c>
    </row>
    <row r="13" customFormat="false" ht="18" hidden="false" customHeight="false" outlineLevel="0" collapsed="false">
      <c r="B13" s="33" t="n">
        <v>6</v>
      </c>
      <c r="C13" s="34" t="n">
        <f aca="false">Schedule!C13</f>
        <v>0</v>
      </c>
      <c r="D13" s="34" t="n">
        <f aca="false">Schedule!D13</f>
        <v>0</v>
      </c>
      <c r="E13" s="34" t="n">
        <f aca="false">Schedule!E13</f>
        <v>0</v>
      </c>
      <c r="F13" s="34" t="n">
        <f aca="false">Schedule!F13</f>
        <v>0</v>
      </c>
      <c r="G13" s="34" t="n">
        <f aca="false">IF(6&lt;=Lease!$C$10,Lease!$F$14,0)</f>
        <v>0</v>
      </c>
      <c r="H13" s="34" t="n">
        <f aca="false">G13-D13</f>
        <v>0</v>
      </c>
      <c r="I13" s="23" t="n">
        <f aca="false">IF(6&lt;=Lease!$C$10,I12-H13,0)</f>
        <v>0</v>
      </c>
    </row>
    <row r="14" customFormat="false" ht="18" hidden="false" customHeight="false" outlineLevel="0" collapsed="false">
      <c r="B14" s="33" t="n">
        <v>7</v>
      </c>
      <c r="C14" s="34" t="n">
        <f aca="false">Schedule!C14</f>
        <v>0</v>
      </c>
      <c r="D14" s="34" t="n">
        <f aca="false">Schedule!D14</f>
        <v>0</v>
      </c>
      <c r="E14" s="34" t="n">
        <f aca="false">Schedule!E14</f>
        <v>0</v>
      </c>
      <c r="F14" s="34" t="n">
        <f aca="false">Schedule!F14</f>
        <v>0</v>
      </c>
      <c r="G14" s="34" t="n">
        <f aca="false">IF(7&lt;=Lease!$C$10,Lease!$F$14,0)</f>
        <v>0</v>
      </c>
      <c r="H14" s="34" t="n">
        <f aca="false">G14-D14</f>
        <v>0</v>
      </c>
      <c r="I14" s="23" t="n">
        <f aca="false">IF(7&lt;=Lease!$C$10,I13-H14,0)</f>
        <v>0</v>
      </c>
    </row>
    <row r="15" customFormat="false" ht="18" hidden="false" customHeight="false" outlineLevel="0" collapsed="false">
      <c r="B15" s="33" t="n">
        <v>8</v>
      </c>
      <c r="C15" s="34" t="n">
        <f aca="false">Schedule!C15</f>
        <v>0</v>
      </c>
      <c r="D15" s="34" t="n">
        <f aca="false">Schedule!D15</f>
        <v>0</v>
      </c>
      <c r="E15" s="34" t="n">
        <f aca="false">Schedule!E15</f>
        <v>0</v>
      </c>
      <c r="F15" s="34" t="n">
        <f aca="false">Schedule!F15</f>
        <v>0</v>
      </c>
      <c r="G15" s="34" t="n">
        <f aca="false">IF(8&lt;=Lease!$C$10,Lease!$F$14,0)</f>
        <v>0</v>
      </c>
      <c r="H15" s="34" t="n">
        <f aca="false">G15-D15</f>
        <v>0</v>
      </c>
      <c r="I15" s="23" t="n">
        <f aca="false">IF(8&lt;=Lease!$C$10,I14-H15,0)</f>
        <v>0</v>
      </c>
    </row>
    <row r="16" customFormat="false" ht="18" hidden="false" customHeight="false" outlineLevel="0" collapsed="false">
      <c r="B16" s="33" t="n">
        <v>9</v>
      </c>
      <c r="C16" s="34" t="n">
        <f aca="false">Schedule!C16</f>
        <v>0</v>
      </c>
      <c r="D16" s="34" t="n">
        <f aca="false">Schedule!D16</f>
        <v>0</v>
      </c>
      <c r="E16" s="34" t="n">
        <f aca="false">Schedule!E16</f>
        <v>0</v>
      </c>
      <c r="F16" s="34" t="n">
        <f aca="false">Schedule!F16</f>
        <v>0</v>
      </c>
      <c r="G16" s="34" t="n">
        <f aca="false">IF(9&lt;=Lease!$C$10,Lease!$F$14,0)</f>
        <v>0</v>
      </c>
      <c r="H16" s="34" t="n">
        <f aca="false">G16-D16</f>
        <v>0</v>
      </c>
      <c r="I16" s="23" t="n">
        <f aca="false">IF(9&lt;=Lease!$C$10,I15-H16,0)</f>
        <v>0</v>
      </c>
    </row>
    <row r="17" customFormat="false" ht="18" hidden="false" customHeight="false" outlineLevel="0" collapsed="false">
      <c r="B17" s="33" t="n">
        <v>10</v>
      </c>
      <c r="C17" s="34" t="n">
        <f aca="false">Schedule!C17</f>
        <v>0</v>
      </c>
      <c r="D17" s="34" t="n">
        <f aca="false">Schedule!D17</f>
        <v>0</v>
      </c>
      <c r="E17" s="34" t="n">
        <f aca="false">Schedule!E17</f>
        <v>0</v>
      </c>
      <c r="F17" s="34" t="n">
        <f aca="false">Schedule!F17</f>
        <v>0</v>
      </c>
      <c r="G17" s="34" t="n">
        <f aca="false">IF(10&lt;=Lease!$C$10,Lease!$F$14,0)</f>
        <v>0</v>
      </c>
      <c r="H17" s="34" t="n">
        <f aca="false">G17-D17</f>
        <v>0</v>
      </c>
      <c r="I17" s="23" t="n">
        <f aca="false">IF(10&lt;=Lease!$C$10,I16-H17,0)</f>
        <v>0</v>
      </c>
    </row>
    <row r="18" customFormat="false" ht="18" hidden="false" customHeight="false" outlineLevel="0" collapsed="false">
      <c r="B18" s="33" t="n">
        <v>11</v>
      </c>
      <c r="C18" s="34" t="n">
        <f aca="false">Schedule!C18</f>
        <v>0</v>
      </c>
      <c r="D18" s="34" t="n">
        <f aca="false">Schedule!D18</f>
        <v>0</v>
      </c>
      <c r="E18" s="34" t="n">
        <f aca="false">Schedule!E18</f>
        <v>0</v>
      </c>
      <c r="F18" s="34" t="n">
        <f aca="false">Schedule!F18</f>
        <v>0</v>
      </c>
      <c r="G18" s="34" t="n">
        <f aca="false">IF(11&lt;=Lease!$C$10,Lease!$F$14,0)</f>
        <v>0</v>
      </c>
      <c r="H18" s="34" t="n">
        <f aca="false">G18-D18</f>
        <v>0</v>
      </c>
      <c r="I18" s="23" t="n">
        <f aca="false">IF(11&lt;=Lease!$C$10,I17-H18,0)</f>
        <v>0</v>
      </c>
    </row>
    <row r="19" customFormat="false" ht="18" hidden="false" customHeight="false" outlineLevel="0" collapsed="false">
      <c r="B19" s="33" t="n">
        <v>12</v>
      </c>
      <c r="C19" s="34" t="n">
        <f aca="false">Schedule!C19</f>
        <v>0</v>
      </c>
      <c r="D19" s="34" t="n">
        <f aca="false">Schedule!D19</f>
        <v>0</v>
      </c>
      <c r="E19" s="34" t="n">
        <f aca="false">Schedule!E19</f>
        <v>0</v>
      </c>
      <c r="F19" s="34" t="n">
        <f aca="false">Schedule!F19</f>
        <v>0</v>
      </c>
      <c r="G19" s="34" t="n">
        <f aca="false">IF(12&lt;=Lease!$C$10,Lease!$F$14,0)</f>
        <v>0</v>
      </c>
      <c r="H19" s="34" t="n">
        <f aca="false">G19-D19</f>
        <v>0</v>
      </c>
      <c r="I19" s="23" t="n">
        <f aca="false">IF(12&lt;=Lease!$C$10,I18-H19,0)</f>
        <v>0</v>
      </c>
    </row>
    <row r="20" customFormat="false" ht="18" hidden="false" customHeight="false" outlineLevel="0" collapsed="false">
      <c r="B20" s="33" t="n">
        <v>13</v>
      </c>
      <c r="C20" s="34" t="n">
        <f aca="false">Schedule!C20</f>
        <v>0</v>
      </c>
      <c r="D20" s="34" t="n">
        <f aca="false">Schedule!D20</f>
        <v>0</v>
      </c>
      <c r="E20" s="34" t="n">
        <f aca="false">Schedule!E20</f>
        <v>0</v>
      </c>
      <c r="F20" s="34" t="n">
        <f aca="false">Schedule!F20</f>
        <v>0</v>
      </c>
      <c r="G20" s="34" t="n">
        <f aca="false">IF(13&lt;=Lease!$C$10,Lease!$F$14,0)</f>
        <v>0</v>
      </c>
      <c r="H20" s="34" t="n">
        <f aca="false">G20-D20</f>
        <v>0</v>
      </c>
      <c r="I20" s="23" t="n">
        <f aca="false">IF(13&lt;=Lease!$C$10,I19-H20,0)</f>
        <v>0</v>
      </c>
    </row>
    <row r="21" customFormat="false" ht="18" hidden="false" customHeight="false" outlineLevel="0" collapsed="false">
      <c r="B21" s="33" t="n">
        <v>14</v>
      </c>
      <c r="C21" s="34" t="n">
        <f aca="false">Schedule!C21</f>
        <v>0</v>
      </c>
      <c r="D21" s="34" t="n">
        <f aca="false">Schedule!D21</f>
        <v>0</v>
      </c>
      <c r="E21" s="34" t="n">
        <f aca="false">Schedule!E21</f>
        <v>0</v>
      </c>
      <c r="F21" s="34" t="n">
        <f aca="false">Schedule!F21</f>
        <v>0</v>
      </c>
      <c r="G21" s="34" t="n">
        <f aca="false">IF(14&lt;=Lease!$C$10,Lease!$F$14,0)</f>
        <v>0</v>
      </c>
      <c r="H21" s="34" t="n">
        <f aca="false">G21-D21</f>
        <v>0</v>
      </c>
      <c r="I21" s="23" t="n">
        <f aca="false">IF(14&lt;=Lease!$C$10,I20-H21,0)</f>
        <v>0</v>
      </c>
    </row>
    <row r="22" customFormat="false" ht="18" hidden="false" customHeight="false" outlineLevel="0" collapsed="false">
      <c r="B22" s="33" t="n">
        <v>15</v>
      </c>
      <c r="C22" s="34" t="n">
        <f aca="false">Schedule!C22</f>
        <v>0</v>
      </c>
      <c r="D22" s="34" t="n">
        <f aca="false">Schedule!D22</f>
        <v>0</v>
      </c>
      <c r="E22" s="34" t="n">
        <f aca="false">Schedule!E22</f>
        <v>0</v>
      </c>
      <c r="F22" s="34" t="n">
        <f aca="false">Schedule!F22</f>
        <v>0</v>
      </c>
      <c r="G22" s="34" t="n">
        <f aca="false">IF(15&lt;=Lease!$C$10,Lease!$F$14,0)</f>
        <v>0</v>
      </c>
      <c r="H22" s="34" t="n">
        <f aca="false">G22-D22</f>
        <v>0</v>
      </c>
      <c r="I22" s="23" t="n">
        <f aca="false">IF(15&lt;=Lease!$C$10,I21-H22,0)</f>
        <v>0</v>
      </c>
    </row>
    <row r="23" customFormat="false" ht="18" hidden="false" customHeight="false" outlineLevel="0" collapsed="false">
      <c r="B23" s="33" t="n">
        <v>16</v>
      </c>
      <c r="C23" s="34" t="n">
        <f aca="false">Schedule!C23</f>
        <v>0</v>
      </c>
      <c r="D23" s="34" t="n">
        <f aca="false">Schedule!D23</f>
        <v>0</v>
      </c>
      <c r="E23" s="34" t="n">
        <f aca="false">Schedule!E23</f>
        <v>0</v>
      </c>
      <c r="F23" s="34" t="n">
        <f aca="false">Schedule!F23</f>
        <v>0</v>
      </c>
      <c r="G23" s="34" t="n">
        <f aca="false">IF(16&lt;=Lease!$C$10,Lease!$F$14,0)</f>
        <v>0</v>
      </c>
      <c r="H23" s="34" t="n">
        <f aca="false">G23-D23</f>
        <v>0</v>
      </c>
      <c r="I23" s="23" t="n">
        <f aca="false">IF(16&lt;=Lease!$C$10,I22-H23,0)</f>
        <v>0</v>
      </c>
    </row>
    <row r="24" customFormat="false" ht="18" hidden="false" customHeight="false" outlineLevel="0" collapsed="false">
      <c r="B24" s="33" t="n">
        <v>17</v>
      </c>
      <c r="C24" s="34" t="n">
        <f aca="false">Schedule!C24</f>
        <v>0</v>
      </c>
      <c r="D24" s="34" t="n">
        <f aca="false">Schedule!D24</f>
        <v>0</v>
      </c>
      <c r="E24" s="34" t="n">
        <f aca="false">Schedule!E24</f>
        <v>0</v>
      </c>
      <c r="F24" s="34" t="n">
        <f aca="false">Schedule!F24</f>
        <v>0</v>
      </c>
      <c r="G24" s="34" t="n">
        <f aca="false">IF(17&lt;=Lease!$C$10,Lease!$F$14,0)</f>
        <v>0</v>
      </c>
      <c r="H24" s="34" t="n">
        <f aca="false">G24-D24</f>
        <v>0</v>
      </c>
      <c r="I24" s="23" t="n">
        <f aca="false">IF(17&lt;=Lease!$C$10,I23-H24,0)</f>
        <v>0</v>
      </c>
    </row>
    <row r="25" customFormat="false" ht="18" hidden="false" customHeight="false" outlineLevel="0" collapsed="false">
      <c r="B25" s="33" t="n">
        <v>18</v>
      </c>
      <c r="C25" s="34" t="n">
        <f aca="false">Schedule!C25</f>
        <v>0</v>
      </c>
      <c r="D25" s="34" t="n">
        <f aca="false">Schedule!D25</f>
        <v>0</v>
      </c>
      <c r="E25" s="34" t="n">
        <f aca="false">Schedule!E25</f>
        <v>0</v>
      </c>
      <c r="F25" s="34" t="n">
        <f aca="false">Schedule!F25</f>
        <v>0</v>
      </c>
      <c r="G25" s="34" t="n">
        <f aca="false">IF(18&lt;=Lease!$C$10,Lease!$F$14,0)</f>
        <v>0</v>
      </c>
      <c r="H25" s="34" t="n">
        <f aca="false">G25-D25</f>
        <v>0</v>
      </c>
      <c r="I25" s="23" t="n">
        <f aca="false">IF(18&lt;=Lease!$C$10,I24-H25,0)</f>
        <v>0</v>
      </c>
    </row>
    <row r="26" customFormat="false" ht="18" hidden="false" customHeight="false" outlineLevel="0" collapsed="false">
      <c r="B26" s="33" t="n">
        <v>19</v>
      </c>
      <c r="C26" s="34" t="n">
        <f aca="false">Schedule!C26</f>
        <v>0</v>
      </c>
      <c r="D26" s="34" t="n">
        <f aca="false">Schedule!D26</f>
        <v>0</v>
      </c>
      <c r="E26" s="34" t="n">
        <f aca="false">Schedule!E26</f>
        <v>0</v>
      </c>
      <c r="F26" s="34" t="n">
        <f aca="false">Schedule!F26</f>
        <v>0</v>
      </c>
      <c r="G26" s="34" t="n">
        <f aca="false">IF(19&lt;=Lease!$C$10,Lease!$F$14,0)</f>
        <v>0</v>
      </c>
      <c r="H26" s="34" t="n">
        <f aca="false">G26-D26</f>
        <v>0</v>
      </c>
      <c r="I26" s="23" t="n">
        <f aca="false">IF(19&lt;=Lease!$C$10,I25-H26,0)</f>
        <v>0</v>
      </c>
    </row>
    <row r="27" customFormat="false" ht="18" hidden="false" customHeight="false" outlineLevel="0" collapsed="false">
      <c r="B27" s="33" t="n">
        <v>20</v>
      </c>
      <c r="C27" s="34" t="n">
        <f aca="false">Schedule!C27</f>
        <v>0</v>
      </c>
      <c r="D27" s="34" t="n">
        <f aca="false">Schedule!D27</f>
        <v>0</v>
      </c>
      <c r="E27" s="34" t="n">
        <f aca="false">Schedule!E27</f>
        <v>0</v>
      </c>
      <c r="F27" s="34" t="n">
        <f aca="false">Schedule!F27</f>
        <v>0</v>
      </c>
      <c r="G27" s="34" t="n">
        <f aca="false">IF(20&lt;=Lease!$C$10,Lease!$F$14,0)</f>
        <v>0</v>
      </c>
      <c r="H27" s="34" t="n">
        <f aca="false">G27-D27</f>
        <v>0</v>
      </c>
      <c r="I27" s="23" t="n">
        <f aca="false">IF(20&lt;=Lease!$C$10,I26-H27,0)</f>
        <v>0</v>
      </c>
    </row>
    <row r="28" customFormat="false" ht="18" hidden="false" customHeight="false" outlineLevel="0" collapsed="false"/>
    <row r="29" customFormat="false" ht="18" hidden="false" customHeight="true" outlineLevel="0" collapsed="false">
      <c r="B29" s="36" t="s">
        <v>85</v>
      </c>
      <c r="C29" s="36"/>
      <c r="D29" s="36"/>
      <c r="E29" s="36"/>
      <c r="F29" s="37" t="str">
        <f aca="false">IF(ABS(INDEX(I8:I27,Lease!C10))&lt;0.5,"✓ Yes","✗ Check inputs")</f>
        <v>✓ Yes</v>
      </c>
      <c r="G29" s="37"/>
    </row>
    <row r="30" customFormat="false" ht="18" hidden="false" customHeight="false" outlineLevel="0" collapsed="false"/>
    <row r="31" customFormat="false" ht="32.8" hidden="false" customHeight="false" outlineLevel="0" collapsed="false">
      <c r="B31" s="20" t="s">
        <v>86</v>
      </c>
    </row>
    <row r="32" customFormat="false" ht="18" hidden="false" customHeight="false" outlineLevel="0" collapsed="false">
      <c r="B32" s="38" t="s">
        <v>87</v>
      </c>
      <c r="C32" s="38"/>
      <c r="D32" s="38"/>
      <c r="E32" s="38"/>
      <c r="F32" s="38"/>
      <c r="G32" s="34" t="n">
        <f aca="false">G8</f>
        <v>100000</v>
      </c>
      <c r="H32" s="34"/>
    </row>
    <row r="33" customFormat="false" ht="18" hidden="false" customHeight="false" outlineLevel="0" collapsed="false">
      <c r="B33" s="38" t="s">
        <v>88</v>
      </c>
      <c r="C33" s="38"/>
      <c r="D33" s="38"/>
      <c r="E33" s="38"/>
      <c r="F33" s="38"/>
      <c r="G33" s="34"/>
      <c r="H33" s="34" t="n">
        <f aca="false">E8</f>
        <v>100000</v>
      </c>
    </row>
    <row r="34" customFormat="false" ht="18" hidden="false" customHeight="false" outlineLevel="0" collapsed="false">
      <c r="B34" s="38" t="s">
        <v>89</v>
      </c>
      <c r="C34" s="38"/>
      <c r="D34" s="38"/>
      <c r="E34" s="38"/>
      <c r="F34" s="38"/>
      <c r="G34" s="34" t="n">
        <f aca="false">IF(G8-E8&lt;0,E8-G8,0)</f>
        <v>0</v>
      </c>
      <c r="H34" s="34" t="n">
        <f aca="false">IF(G8-E8&gt;0,G8-E8,0)</f>
        <v>0</v>
      </c>
    </row>
    <row r="35" customFormat="false" ht="18" hidden="false" customHeight="false" outlineLevel="0" collapsed="false">
      <c r="B35" s="38" t="s">
        <v>90</v>
      </c>
      <c r="C35" s="38"/>
      <c r="D35" s="38"/>
      <c r="E35" s="38"/>
      <c r="F35" s="38"/>
      <c r="G35" s="34" t="n">
        <f aca="false">E8-D8</f>
        <v>78352.6166468459</v>
      </c>
      <c r="H35" s="34"/>
    </row>
    <row r="36" customFormat="false" ht="18" hidden="false" customHeight="false" outlineLevel="0" collapsed="false">
      <c r="B36" s="38" t="s">
        <v>91</v>
      </c>
      <c r="C36" s="38"/>
      <c r="D36" s="38"/>
      <c r="E36" s="38"/>
      <c r="F36" s="38"/>
      <c r="G36" s="34"/>
      <c r="H36" s="34" t="n">
        <f aca="false">H8</f>
        <v>78352.6166468459</v>
      </c>
    </row>
    <row r="37" customFormat="false" ht="18" hidden="false" customHeight="false" outlineLevel="0" collapsed="false">
      <c r="B37" s="38" t="s">
        <v>89</v>
      </c>
      <c r="C37" s="38"/>
      <c r="D37" s="38"/>
      <c r="E37" s="38"/>
      <c r="F37" s="38"/>
      <c r="G37" s="34" t="n">
        <f aca="false">IF(H8-(E8-D8)&gt;0,H8-(E8-D8),0)</f>
        <v>0</v>
      </c>
      <c r="H37" s="34" t="n">
        <f aca="false">IF(H8-(E8-D8)&lt;0,(E8-D8)-H8,0)</f>
        <v>0</v>
      </c>
    </row>
    <row r="38" customFormat="false" ht="18" hidden="false" customHeight="false" outlineLevel="0" collapsed="false"/>
    <row r="39" customFormat="false" ht="18" hidden="false" customHeight="true" outlineLevel="0" collapsed="false">
      <c r="B39" s="28" t="s">
        <v>92</v>
      </c>
      <c r="C39" s="28"/>
      <c r="D39" s="28"/>
      <c r="E39" s="28"/>
      <c r="F39" s="28"/>
      <c r="G39" s="28"/>
      <c r="H39" s="28"/>
      <c r="I39" s="28"/>
    </row>
    <row r="40" customFormat="false" ht="18" hidden="false" customHeight="false" outlineLevel="0" collapsed="false">
      <c r="B40" s="28"/>
      <c r="C40" s="28"/>
      <c r="D40" s="28"/>
      <c r="E40" s="28"/>
      <c r="F40" s="28"/>
      <c r="G40" s="28"/>
      <c r="H40" s="28"/>
      <c r="I40" s="28"/>
    </row>
    <row r="41" customFormat="false" ht="18" hidden="false" customHeight="false" outlineLevel="0" collapsed="false">
      <c r="B41" s="28"/>
      <c r="C41" s="28"/>
      <c r="D41" s="28"/>
      <c r="E41" s="28"/>
      <c r="F41" s="28"/>
      <c r="G41" s="28"/>
      <c r="H41" s="28"/>
      <c r="I41" s="28"/>
    </row>
  </sheetData>
  <mergeCells count="11">
    <mergeCell ref="B2:I3"/>
    <mergeCell ref="B4:I4"/>
    <mergeCell ref="B29:E29"/>
    <mergeCell ref="F29:G29"/>
    <mergeCell ref="B32:F32"/>
    <mergeCell ref="B33:F33"/>
    <mergeCell ref="B34:F34"/>
    <mergeCell ref="B35:F35"/>
    <mergeCell ref="B36:F36"/>
    <mergeCell ref="B37:F37"/>
    <mergeCell ref="B39:I41"/>
  </mergeCells>
  <conditionalFormatting sqref="F29">
    <cfRule type="expression" priority="2" aboveAverage="0" equalAverage="0" bottom="0" percent="0" rank="0" text="" dxfId="0">
      <formula>LEFT(F29,1)="✓"</formula>
    </cfRule>
    <cfRule type="expression" priority="3" aboveAverage="0" equalAverage="0" bottom="0" percent="0" rank="0" text="" dxfId="1">
      <formula>LEFT(F29,1)&lt;&gt;"✓"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E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5" min="4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8" t="s">
        <v>93</v>
      </c>
      <c r="C2" s="18"/>
      <c r="D2" s="18"/>
      <c r="E2" s="18"/>
    </row>
    <row r="3" customFormat="false" ht="19.5" hidden="false" customHeight="true" outlineLevel="0" collapsed="false">
      <c r="B3" s="18"/>
      <c r="C3" s="18"/>
      <c r="D3" s="18"/>
      <c r="E3" s="18"/>
    </row>
    <row r="4" customFormat="false" ht="19.5" hidden="false" customHeight="true" outlineLevel="0" collapsed="false">
      <c r="B4" s="19" t="s">
        <v>94</v>
      </c>
      <c r="C4" s="19"/>
      <c r="D4" s="19"/>
      <c r="E4" s="19"/>
    </row>
    <row r="5" customFormat="false" ht="3.75" hidden="false" customHeight="true" outlineLevel="0" collapsed="false">
      <c r="B5" s="4"/>
      <c r="C5" s="4"/>
      <c r="D5" s="4"/>
      <c r="E5" s="4"/>
    </row>
    <row r="6" customFormat="false" ht="18" hidden="false" customHeight="false" outlineLevel="0" collapsed="false"/>
    <row r="7" customFormat="false" ht="33.75" hidden="false" customHeight="true" outlineLevel="0" collapsed="false">
      <c r="B7" s="31" t="s">
        <v>95</v>
      </c>
      <c r="C7" s="32" t="s">
        <v>96</v>
      </c>
      <c r="D7" s="32" t="s">
        <v>97</v>
      </c>
      <c r="E7" s="32" t="s">
        <v>98</v>
      </c>
    </row>
    <row r="8" customFormat="false" ht="18" hidden="false" customHeight="false" outlineLevel="0" collapsed="false">
      <c r="B8" s="39" t="s">
        <v>99</v>
      </c>
      <c r="C8" s="40" t="s">
        <v>11</v>
      </c>
      <c r="D8" s="34" t="n">
        <f aca="false">Lease!F8</f>
        <v>432947.667063082</v>
      </c>
      <c r="E8" s="34"/>
    </row>
    <row r="9" customFormat="false" ht="18" hidden="false" customHeight="false" outlineLevel="0" collapsed="false">
      <c r="B9" s="39"/>
      <c r="C9" s="40" t="s">
        <v>100</v>
      </c>
      <c r="D9" s="34"/>
      <c r="E9" s="34" t="n">
        <f aca="false">Lease!F8</f>
        <v>432947.667063082</v>
      </c>
    </row>
    <row r="10" customFormat="false" ht="18" hidden="false" customHeight="false" outlineLevel="0" collapsed="false">
      <c r="B10" s="41" t="s">
        <v>101</v>
      </c>
      <c r="C10" s="42" t="s">
        <v>11</v>
      </c>
      <c r="D10" s="43" t="n">
        <f aca="false">Lease!F9</f>
        <v>0</v>
      </c>
      <c r="E10" s="43"/>
    </row>
    <row r="11" customFormat="false" ht="18" hidden="false" customHeight="false" outlineLevel="0" collapsed="false">
      <c r="B11" s="39"/>
      <c r="C11" s="40" t="s">
        <v>88</v>
      </c>
      <c r="D11" s="34"/>
      <c r="E11" s="34" t="n">
        <f aca="false">Lease!F9</f>
        <v>0</v>
      </c>
    </row>
    <row r="12" customFormat="false" ht="18" hidden="false" customHeight="false" outlineLevel="0" collapsed="false">
      <c r="B12" s="41" t="s">
        <v>102</v>
      </c>
      <c r="C12" s="42" t="s">
        <v>11</v>
      </c>
      <c r="D12" s="43" t="n">
        <f aca="false">Lease!C13</f>
        <v>0</v>
      </c>
      <c r="E12" s="43"/>
    </row>
    <row r="13" customFormat="false" ht="18" hidden="false" customHeight="false" outlineLevel="0" collapsed="false">
      <c r="B13" s="39"/>
      <c r="C13" s="40" t="s">
        <v>88</v>
      </c>
      <c r="D13" s="34"/>
      <c r="E13" s="34" t="n">
        <f aca="false">Lease!C13</f>
        <v>0</v>
      </c>
    </row>
    <row r="14" customFormat="false" ht="18" hidden="false" customHeight="false" outlineLevel="0" collapsed="false">
      <c r="B14" s="41" t="s">
        <v>103</v>
      </c>
      <c r="C14" s="42" t="s">
        <v>104</v>
      </c>
      <c r="D14" s="43" t="n">
        <f aca="false">Lease!C14</f>
        <v>0</v>
      </c>
      <c r="E14" s="43"/>
    </row>
    <row r="15" customFormat="false" ht="18" hidden="false" customHeight="false" outlineLevel="0" collapsed="false">
      <c r="B15" s="39"/>
      <c r="C15" s="40" t="s">
        <v>105</v>
      </c>
      <c r="D15" s="34"/>
      <c r="E15" s="34" t="n">
        <f aca="false">Lease!C14</f>
        <v>0</v>
      </c>
    </row>
    <row r="16" customFormat="false" ht="18" hidden="false" customHeight="false" outlineLevel="0" collapsed="false">
      <c r="B16" s="41" t="s">
        <v>106</v>
      </c>
      <c r="C16" s="42" t="s">
        <v>107</v>
      </c>
      <c r="D16" s="43" t="n">
        <f aca="false">Schedule!D8</f>
        <v>21647.3833531541</v>
      </c>
      <c r="E16" s="43"/>
    </row>
    <row r="17" customFormat="false" ht="18" hidden="false" customHeight="false" outlineLevel="0" collapsed="false">
      <c r="B17" s="39"/>
      <c r="C17" s="40" t="s">
        <v>100</v>
      </c>
      <c r="D17" s="34"/>
      <c r="E17" s="34" t="n">
        <f aca="false">Schedule!D8</f>
        <v>21647.3833531541</v>
      </c>
    </row>
    <row r="18" customFormat="false" ht="18" hidden="false" customHeight="false" outlineLevel="0" collapsed="false">
      <c r="B18" s="41" t="s">
        <v>108</v>
      </c>
      <c r="C18" s="42" t="s">
        <v>10</v>
      </c>
      <c r="D18" s="43" t="n">
        <f aca="false">Schedule!E8</f>
        <v>100000</v>
      </c>
      <c r="E18" s="43"/>
    </row>
    <row r="19" customFormat="false" ht="18" hidden="false" customHeight="false" outlineLevel="0" collapsed="false">
      <c r="B19" s="39"/>
      <c r="C19" s="40" t="s">
        <v>88</v>
      </c>
      <c r="D19" s="34"/>
      <c r="E19" s="34" t="n">
        <f aca="false">Schedule!E8</f>
        <v>100000</v>
      </c>
    </row>
    <row r="20" customFormat="false" ht="18" hidden="false" customHeight="false" outlineLevel="0" collapsed="false">
      <c r="B20" s="41" t="s">
        <v>109</v>
      </c>
      <c r="C20" s="42" t="s">
        <v>110</v>
      </c>
      <c r="D20" s="43" t="n">
        <f aca="false">Schedule!G8</f>
        <v>86589.5334126164</v>
      </c>
      <c r="E20" s="43"/>
    </row>
    <row r="21" customFormat="false" ht="18" hidden="false" customHeight="false" outlineLevel="0" collapsed="false">
      <c r="B21" s="39"/>
      <c r="C21" s="40" t="s">
        <v>111</v>
      </c>
      <c r="D21" s="34"/>
      <c r="E21" s="34" t="n">
        <f aca="false">Schedule!G8</f>
        <v>86589.5334126164</v>
      </c>
    </row>
    <row r="22" customFormat="false" ht="18" hidden="false" customHeight="false" outlineLevel="0" collapsed="false"/>
    <row r="23" customFormat="false" ht="18" hidden="false" customHeight="false" outlineLevel="0" collapsed="false">
      <c r="B23" s="29" t="s">
        <v>112</v>
      </c>
      <c r="C23" s="30" t="str">
        <f aca="false">IF(ABS(SUM(D8:D21)-SUM(E8:E21))&lt;0.005,"✓ Balanced","✗ Not balanced")</f>
        <v>✓ Balanced</v>
      </c>
    </row>
  </sheetData>
  <mergeCells count="2">
    <mergeCell ref="B2:E3"/>
    <mergeCell ref="B4:E4"/>
  </mergeCells>
  <conditionalFormatting sqref="C23">
    <cfRule type="expression" priority="2" aboveAverage="0" equalAverage="0" bottom="0" percent="0" rank="0" text="" dxfId="0">
      <formula>LEFT(C23,1)="✓"</formula>
    </cfRule>
    <cfRule type="expression" priority="3" aboveAverage="0" equalAverage="0" bottom="0" percent="0" rank="0" text="" dxfId="1">
      <formula>LEFT(C23,1)&lt;&gt;"✓"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2026-10-04T08:54:17Z</dcterms:created>
  <dc:creator>openpyxl</dc:creator>
  <dc:description/>
  <dc:language>en-US</dc:language>
  <cp:lastModifiedBy/>
  <dcterms:modified xsi:type="dcterms:W3CDTF">2026-10-04T08:54:19Z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