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Basic EPS" sheetId="2" state="visible" r:id="rId4"/>
    <sheet name="Diluted EPS" sheetId="3" state="visible" r:id="rId5"/>
    <sheet name="Year to dat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<sst xmlns="http://schemas.openxmlformats.org/spreadsheetml/2006/main" count="99" uniqueCount="89">
  <si>
    <t xml:space="preserve">EPS calculator</t>
  </si>
  <si>
    <t xml:space="preserve">IAS 33 and ASC 260: basic and diluted EPS with the treasury stock and if-converted methods, and year-to-date EPS</t>
  </si>
  <si>
    <t xml:space="preserve">HOW IT WORKS</t>
  </si>
  <si>
    <t xml:space="preserve">Enter profit and shares</t>
  </si>
  <si>
    <t xml:space="preserve">Add potential shares</t>
  </si>
  <si>
    <t xml:space="preserve">Read basic and diluted</t>
  </si>
  <si>
    <t xml:space="preserve">Weighted average</t>
  </si>
  <si>
    <t xml:space="preserve">Options, convertibles</t>
  </si>
  <si>
    <t xml:space="preserve">Tested in order</t>
  </si>
  <si>
    <t xml:space="preserve">LIVE RESULTS</t>
  </si>
  <si>
    <t xml:space="preserve">Basic EPS</t>
  </si>
  <si>
    <t xml:space="preserve">Diluted EPS</t>
  </si>
  <si>
    <t xml:space="preserve">Weighted average shares</t>
  </si>
  <si>
    <t xml:space="preserve">Check</t>
  </si>
  <si>
    <t xml:space="preserve">COLOUR KEY</t>
  </si>
  <si>
    <t xml:space="preserve">You type here</t>
  </si>
  <si>
    <t xml:space="preserve">Calculated for you</t>
  </si>
  <si>
    <t xml:space="preserve">✓ Check passed</t>
  </si>
  <si>
    <t xml:space="preserve">✗ Needs attention</t>
  </si>
  <si>
    <t xml:space="preserve">JUMP TO</t>
  </si>
  <si>
    <t xml:space="preserve">Basic EPS  ›</t>
  </si>
  <si>
    <t xml:space="preserve">Diluted EPS  ›</t>
  </si>
  <si>
    <t xml:space="preserve">Year to date  ›</t>
  </si>
  <si>
    <t xml:space="preserve">Example: the company from the IAS 33 guide, fictional. Replace the figures with your own. General information, not advice. taxbakers.com/ifrs/ias-33-earnings-per-share/</t>
  </si>
  <si>
    <t xml:space="preserve">Profit attributable to ordinary shareholders divided by the weighted average number of ordinary shares. Shares and amounts in thousands.</t>
  </si>
  <si>
    <t xml:space="preserve">Profit attributable to owners of the parent</t>
  </si>
  <si>
    <t xml:space="preserve">Less: dividends on preference shares classified as equity</t>
  </si>
  <si>
    <t xml:space="preserve">Profit attributable to ordinary shareholders</t>
  </si>
  <si>
    <t xml:space="preserve">Ordinary shares</t>
  </si>
  <si>
    <t xml:space="preserve">Number (negative for buy-backs)</t>
  </si>
  <si>
    <t xml:space="preserve">Months outstanding</t>
  </si>
  <si>
    <t xml:space="preserve">Weighted</t>
  </si>
  <si>
    <t xml:space="preserve">Shares at the start of the year</t>
  </si>
  <si>
    <t xml:space="preserve">Shares issued for cash on 1 October</t>
  </si>
  <si>
    <t xml:space="preserve">Weighted average ordinary shares</t>
  </si>
  <si>
    <t xml:space="preserve">Basic earnings per share</t>
  </si>
  <si>
    <t xml:space="preserve">Bonus issues, share splits and the bonus element of a rights issue are applied to all periods as if they happened at the start, including those after the year end but before the statements are issued. Enter them as an adjustment to the opening number, outstanding for 12 months.</t>
  </si>
  <si>
    <t xml:space="preserve">Each potential ordinary share, its effect on earnings and shares, and the order in which IAS 33 and ASC 260 test them.</t>
  </si>
  <si>
    <t xml:space="preserve">Average market price of an ordinary share in the year</t>
  </si>
  <si>
    <t xml:space="preserve">Income tax rate</t>
  </si>
  <si>
    <t xml:space="preserve">Options and warrants</t>
  </si>
  <si>
    <t xml:space="preserve">Number</t>
  </si>
  <si>
    <t xml:space="preserve">Exercise price</t>
  </si>
  <si>
    <t xml:space="preserve">Incremental shares</t>
  </si>
  <si>
    <t xml:space="preserve">Earnings effect</t>
  </si>
  <si>
    <t xml:space="preserve">Per incremental share</t>
  </si>
  <si>
    <t xml:space="preserve"> </t>
  </si>
  <si>
    <t xml:space="preserve">Employee share options</t>
  </si>
  <si>
    <t xml:space="preserve">Convertible instruments</t>
  </si>
  <si>
    <t xml:space="preserve">Carrying amount</t>
  </si>
  <si>
    <t xml:space="preserve">Interest or dividend rate</t>
  </si>
  <si>
    <t xml:space="preserve">Shares on conversion</t>
  </si>
  <si>
    <t xml:space="preserve">Earnings effect after tax</t>
  </si>
  <si>
    <t xml:space="preserve">5% convertible bond</t>
  </si>
  <si>
    <t xml:space="preserve">Interest added back is the expense after tax recognised in the year; for an IAS 32 split bond, use the effective interest on the liability component. A convertible preference share adds back its dividend with no tax effect: set the tax rate on that row to 0% by entering the dividend as the carrying amount times the rate.</t>
  </si>
  <si>
    <t xml:space="preserve">Potential ordinary shares</t>
  </si>
  <si>
    <t xml:space="preserve">Rank</t>
  </si>
  <si>
    <t xml:space="preserve">Step, most dilutive first</t>
  </si>
  <si>
    <t xml:space="preserve">Instrument</t>
  </si>
  <si>
    <t xml:space="preserve">Earnings</t>
  </si>
  <si>
    <t xml:space="preserve">Shares</t>
  </si>
  <si>
    <t xml:space="preserve">EPS after the step</t>
  </si>
  <si>
    <t xml:space="preserve">Included?</t>
  </si>
  <si>
    <t xml:space="preserve">Start</t>
  </si>
  <si>
    <t xml:space="preserve">Step 1</t>
  </si>
  <si>
    <t xml:space="preserve">Step 2</t>
  </si>
  <si>
    <t xml:space="preserve">Step 3</t>
  </si>
  <si>
    <t xml:space="preserve">Step 4</t>
  </si>
  <si>
    <t xml:space="preserve">Step 5</t>
  </si>
  <si>
    <t xml:space="preserve">Diluted earnings per share</t>
  </si>
  <si>
    <t xml:space="preserve">Diluted EPS is not above basic EPS</t>
  </si>
  <si>
    <t xml:space="preserve">Options are included using the treasury stock method: the proceeds are assumed to buy back shares at the average market price, and only the shares issued for nothing count. Potential shares are then tested in order, from the lowest earnings per incremental share, and any that would raise EPS, or reduce a loss per share, are left out. IAS 33 and ASC 260 work the same way for annual figures.</t>
  </si>
  <si>
    <t xml:space="preserve">Year to date</t>
  </si>
  <si>
    <t xml:space="preserve">Interim diluted EPS: US GAAP averages the quarterly incremental shares; IFRS computes the year-to-date period on its own. Shares and amounts in thousands.</t>
  </si>
  <si>
    <t xml:space="preserve">Options outstanding</t>
  </si>
  <si>
    <t xml:space="preserve">Quarter 1</t>
  </si>
  <si>
    <t xml:space="preserve">Quarter 2</t>
  </si>
  <si>
    <t xml:space="preserve">Quarter 3</t>
  </si>
  <si>
    <t xml:space="preserve">Quarter 4</t>
  </si>
  <si>
    <t xml:space="preserve">Half year</t>
  </si>
  <si>
    <t xml:space="preserve">Full year</t>
  </si>
  <si>
    <t xml:space="preserve">Profit for the quarter</t>
  </si>
  <si>
    <t xml:space="preserve">Weighted ordinary shares</t>
  </si>
  <si>
    <t xml:space="preserve">Average share price</t>
  </si>
  <si>
    <t xml:space="preserve">Incremental shares, computed for the period</t>
  </si>
  <si>
    <t xml:space="preserve">US GAAP: average of the quarterly incremental shares</t>
  </si>
  <si>
    <t xml:space="preserve">Diluted EPS under IFRS (IAS 33)</t>
  </si>
  <si>
    <t xml:space="preserve">Diluted EPS under US GAAP (ASC 260)</t>
  </si>
  <si>
    <t xml:space="preserve">Each quarter on its own gives the same answer under both. For longer periods, the treasury stock method is not linear in the share price, so averaging quarterly results differs from one computation at the period's average price, which is assumed here to be the simple average of the quarters. The example matches the IAS 33 vs ASC 260 guide.</t>
  </si>
</sst>
</file>

<file path=xl/styles.xml><?xml version="1.0" encoding="utf-8"?>
<styleSheet xmlns="http://schemas.openxmlformats.org/spreadsheetml/2006/main">
  <numFmts count="9">
    <numFmt numFmtId="164" formatCode="General"/>
    <numFmt numFmtId="165" formatCode="0.00"/>
    <numFmt numFmtId="166" formatCode="#,##0"/>
    <numFmt numFmtId="167" formatCode="#,##0;\(#,##0\);\-"/>
    <numFmt numFmtId="168" formatCode="0"/>
    <numFmt numFmtId="169" formatCode="0.00;\(0.00\)"/>
    <numFmt numFmtId="170" formatCode="#,##0.00;\(#,##0.00\);\-"/>
    <numFmt numFmtId="171" formatCode="0.0%;\(0.0%\);;"/>
    <numFmt numFmtId="172" formatCode="0.00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sz val="10"/>
      <color rgb="FF0E3D4A"/>
      <name val="Arial"/>
      <family val="0"/>
      <charset val="1"/>
    </font>
    <font>
      <sz val="10"/>
      <color rgb="FF0000FF"/>
      <name val="Arial"/>
      <family val="0"/>
      <charset val="1"/>
    </font>
    <font>
      <b val="true"/>
      <sz val="10"/>
      <color rgb="FFFFFFFF"/>
      <name val="Arial"/>
      <family val="0"/>
      <charset val="1"/>
    </font>
    <font>
      <sz val="10"/>
      <name val="Arial"/>
      <family val="0"/>
      <charset val="1"/>
    </font>
    <font>
      <sz val="10"/>
      <color rgb="FF6B7A8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6"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21" fillId="2" borderId="0" xfId="0" applyFont="true" applyBorder="true" applyAlignment="true" applyProtection="false">
      <alignment horizontal="left" vertical="center" textRotation="0" wrapText="true" indent="1" shrinkToFit="false"/>
      <protection locked="true" hidden="false"/>
    </xf>
    <xf numFmtId="164" fontId="22" fillId="0" borderId="0" xfId="0" applyFont="true" applyBorder="false" applyAlignment="true" applyProtection="false">
      <alignment horizontal="left" vertical="center" textRotation="0" wrapText="true" indent="1" shrinkToFit="false"/>
      <protection locked="true" hidden="false"/>
    </xf>
    <xf numFmtId="167" fontId="23" fillId="6" borderId="8" xfId="0" applyFont="true" applyBorder="true" applyAlignment="false" applyProtection="false">
      <alignment horizontal="general" vertical="bottom" textRotation="0" wrapText="false" indent="0" shrinkToFit="false"/>
      <protection locked="true" hidden="false"/>
    </xf>
    <xf numFmtId="164" fontId="13" fillId="0" borderId="8" xfId="0" applyFont="true" applyBorder="true" applyAlignment="false" applyProtection="false">
      <alignment horizontal="general" vertical="bottom" textRotation="0" wrapText="false" indent="0" shrinkToFit="false"/>
      <protection locked="true" hidden="false"/>
    </xf>
    <xf numFmtId="167" fontId="11" fillId="0" borderId="8" xfId="0" applyFont="true" applyBorder="true" applyAlignment="false" applyProtection="false">
      <alignment horizontal="general" vertical="bottom" textRotation="0" wrapText="false" indent="0" shrinkToFit="false"/>
      <protection locked="true" hidden="false"/>
    </xf>
    <xf numFmtId="164" fontId="24" fillId="2" borderId="0" xfId="0" applyFont="true" applyBorder="false" applyAlignment="true" applyProtection="false">
      <alignment horizontal="left" vertical="center" textRotation="0" wrapText="true" indent="1" shrinkToFit="false"/>
      <protection locked="true" hidden="false"/>
    </xf>
    <xf numFmtId="164" fontId="24" fillId="2" borderId="0" xfId="0" applyFont="true" applyBorder="false" applyAlignment="true" applyProtection="false">
      <alignment horizontal="center" vertical="center" textRotation="0" wrapText="true" indent="0" shrinkToFit="false"/>
      <protection locked="true" hidden="false"/>
    </xf>
    <xf numFmtId="164" fontId="23" fillId="6" borderId="8" xfId="0" applyFont="true" applyBorder="true" applyAlignment="false" applyProtection="false">
      <alignment horizontal="general" vertical="bottom" textRotation="0" wrapText="false" indent="0" shrinkToFit="false"/>
      <protection locked="true" hidden="false"/>
    </xf>
    <xf numFmtId="168" fontId="23" fillId="6" borderId="8" xfId="0" applyFont="true" applyBorder="true" applyAlignment="false" applyProtection="false">
      <alignment horizontal="general" vertical="bottom" textRotation="0" wrapText="false" indent="0" shrinkToFit="false"/>
      <protection locked="true" hidden="false"/>
    </xf>
    <xf numFmtId="167" fontId="25" fillId="0" borderId="8" xfId="0" applyFont="true" applyBorder="true" applyAlignment="false" applyProtection="false">
      <alignment horizontal="general" vertical="bottom" textRotation="0" wrapText="false" indent="0" shrinkToFit="false"/>
      <protection locked="true" hidden="false"/>
    </xf>
    <xf numFmtId="169" fontId="11" fillId="0" borderId="8"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70" fontId="23" fillId="6" borderId="8" xfId="0" applyFont="true" applyBorder="true" applyAlignment="false" applyProtection="false">
      <alignment horizontal="general" vertical="bottom" textRotation="0" wrapText="false" indent="0" shrinkToFit="false"/>
      <protection locked="true" hidden="false"/>
    </xf>
    <xf numFmtId="171" fontId="23" fillId="6" borderId="8" xfId="0" applyFont="true" applyBorder="true" applyAlignment="false" applyProtection="false">
      <alignment horizontal="general" vertical="bottom" textRotation="0" wrapText="false" indent="0" shrinkToFit="false"/>
      <protection locked="true" hidden="false"/>
    </xf>
    <xf numFmtId="172" fontId="25" fillId="0" borderId="8" xfId="0" applyFont="true" applyBorder="true" applyAlignment="false" applyProtection="false">
      <alignment horizontal="general" vertical="bottom" textRotation="0" wrapText="false" indent="0" shrinkToFit="false"/>
      <protection locked="true" hidden="false"/>
    </xf>
    <xf numFmtId="170" fontId="25" fillId="0" borderId="8" xfId="0" applyFont="true" applyBorder="true" applyAlignment="false" applyProtection="false">
      <alignment horizontal="general" vertical="bottom" textRotation="0" wrapText="false" indent="0" shrinkToFit="false"/>
      <protection locked="true" hidden="false"/>
    </xf>
    <xf numFmtId="164" fontId="25" fillId="0" borderId="8" xfId="0" applyFont="true" applyBorder="true" applyAlignment="false" applyProtection="false">
      <alignment horizontal="general" vertical="bottom" textRotation="0" wrapText="false" indent="0" shrinkToFit="false"/>
      <protection locked="true" hidden="false"/>
    </xf>
    <xf numFmtId="168" fontId="25" fillId="0" borderId="8" xfId="0" applyFont="true" applyBorder="true" applyAlignment="false" applyProtection="false">
      <alignment horizontal="general" vertical="bottom" textRotation="0" wrapText="false" indent="0" shrinkToFit="false"/>
      <protection locked="true" hidden="false"/>
    </xf>
    <xf numFmtId="169" fontId="25" fillId="0" borderId="8" xfId="0" applyFont="true" applyBorder="true" applyAlignment="fals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EPS after each step</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'Diluted EPS'!$B$30:$B$35</c:f>
              <c:strCache>
                <c:ptCount val="6"/>
                <c:pt idx="0">
                  <c:v>Start</c:v>
                </c:pt>
                <c:pt idx="1">
                  <c:v>Step 1</c:v>
                </c:pt>
                <c:pt idx="2">
                  <c:v>Step 2</c:v>
                </c:pt>
                <c:pt idx="3">
                  <c:v>Step 3</c:v>
                </c:pt>
                <c:pt idx="4">
                  <c:v>Step 4</c:v>
                </c:pt>
                <c:pt idx="5">
                  <c:v>Step 5</c:v>
                </c:pt>
              </c:strCache>
            </c:strRef>
          </c:cat>
          <c:val>
            <c:numRef>
              <c:f>'Diluted EPS'!$F$30:$F$35</c:f>
              <c:numCache>
                <c:formatCode>0.00;\(0.00\)</c:formatCode>
                <c:ptCount val="6"/>
                <c:pt idx="0">
                  <c:v>1.9047619047619</c:v>
                </c:pt>
                <c:pt idx="1">
                  <c:v>1.84615384615385</c:v>
                </c:pt>
                <c:pt idx="2">
                  <c:v>1.63682432432432</c:v>
                </c:pt>
                <c:pt idx="3">
                  <c:v>1.63682432432432</c:v>
                </c:pt>
                <c:pt idx="4">
                  <c:v>1.63682432432432</c:v>
                </c:pt>
                <c:pt idx="5">
                  <c:v>1.63682432432432</c:v>
                </c:pt>
              </c:numCache>
            </c:numRef>
          </c:val>
        </c:ser>
        <c:gapWidth val="60"/>
        <c:overlap val="0"/>
        <c:axId val="41542905"/>
        <c:axId val="43348872"/>
      </c:barChart>
      <c:catAx>
        <c:axId val="4154290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3348872"/>
        <c:crosses val="autoZero"/>
        <c:auto val="1"/>
        <c:lblAlgn val="ctr"/>
        <c:lblOffset val="100"/>
        <c:noMultiLvlLbl val="0"/>
      </c:catAx>
      <c:valAx>
        <c:axId val="43348872"/>
        <c:scaling>
          <c:orientation val="minMax"/>
        </c:scaling>
        <c:delete val="1"/>
        <c:axPos val="l"/>
        <c:numFmt formatCode="0.0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542905"/>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8</xdr:col>
      <xdr:colOff>443160</xdr:colOff>
      <xdr:row>34</xdr:row>
      <xdr:rowOff>185040</xdr:rowOff>
    </xdr:to>
    <xdr:graphicFrame>
      <xdr:nvGraphicFramePr>
        <xdr:cNvPr id="0" name="Chart 1"/>
        <xdr:cNvGraphicFramePr/>
      </xdr:nvGraphicFramePr>
      <xdr:xfrm>
        <a:off x="176400" y="567684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'Basic EPS'!E20</f>
        <v>1.9047619047619</v>
      </c>
      <c r="C15" s="10"/>
      <c r="D15" s="10"/>
      <c r="E15" s="10" t="n">
        <f aca="false">'Diluted EPS'!F37</f>
        <v>1.63682432432432</v>
      </c>
      <c r="F15" s="10"/>
      <c r="G15" s="10"/>
      <c r="H15" s="11" t="n">
        <f aca="false">'Basic EPS'!E18</f>
        <v>10500</v>
      </c>
      <c r="I15" s="11"/>
      <c r="J15" s="11"/>
      <c r="K15" s="12" t="str">
        <f aca="false">'Diluted EPS'!F38</f>
        <v>✓ Correct</v>
      </c>
      <c r="L15" s="12"/>
      <c r="M15" s="12"/>
    </row>
    <row r="16" customFormat="false" ht="21.75" hidden="false" customHeight="true" outlineLevel="0" collapsed="false">
      <c r="B16" s="10"/>
      <c r="C16" s="10"/>
      <c r="D16" s="10"/>
      <c r="E16" s="10"/>
      <c r="F16" s="10"/>
      <c r="G16" s="10"/>
      <c r="H16" s="11"/>
      <c r="I16" s="11"/>
      <c r="J16" s="11"/>
      <c r="K16" s="12"/>
      <c r="L16" s="12"/>
      <c r="M16" s="12"/>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3" t="s">
        <v>15</v>
      </c>
      <c r="C19" s="13"/>
      <c r="D19" s="13"/>
      <c r="E19" s="14" t="s">
        <v>16</v>
      </c>
      <c r="F19" s="14"/>
      <c r="G19" s="14"/>
      <c r="H19" s="15" t="s">
        <v>17</v>
      </c>
      <c r="I19" s="15"/>
      <c r="J19" s="15"/>
      <c r="K19" s="16" t="s">
        <v>18</v>
      </c>
      <c r="L19" s="16"/>
      <c r="M19" s="16"/>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7" t="s">
        <v>20</v>
      </c>
      <c r="C22" s="17"/>
      <c r="D22" s="17"/>
      <c r="E22" s="17" t="s">
        <v>21</v>
      </c>
      <c r="F22" s="17"/>
      <c r="G22" s="17"/>
      <c r="H22" s="17" t="s">
        <v>22</v>
      </c>
      <c r="I22" s="17"/>
      <c r="J22" s="17"/>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8" t="s">
        <v>23</v>
      </c>
      <c r="C41" s="18"/>
      <c r="D41" s="18"/>
      <c r="E41" s="18"/>
      <c r="F41" s="18"/>
      <c r="G41" s="18"/>
      <c r="H41" s="18"/>
      <c r="I41" s="18"/>
      <c r="J41" s="18"/>
      <c r="K41" s="18"/>
      <c r="L41" s="18"/>
      <c r="M41" s="18"/>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Basic EPS'!B2" display="Basic EPS  ›"/>
    <hyperlink ref="E22" location="'Diluted EPS'!B2" display="Diluted EPS  ›"/>
    <hyperlink ref="H22" location="'Year to date'!B2" display="Year to date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6"/>
    <col collapsed="false" customWidth="true" hidden="false" outlineLevel="0" max="5" min="3" style="0" width="16"/>
  </cols>
  <sheetData>
    <row r="1" customFormat="false" ht="18" hidden="false" customHeight="false" outlineLevel="0" collapsed="false"/>
    <row r="2" customFormat="false" ht="19.5" hidden="false" customHeight="true" outlineLevel="0" collapsed="false">
      <c r="B2" s="19" t="s">
        <v>10</v>
      </c>
      <c r="C2" s="19"/>
      <c r="D2" s="19"/>
      <c r="E2" s="19"/>
    </row>
    <row r="3" customFormat="false" ht="19.5" hidden="false" customHeight="true" outlineLevel="0" collapsed="false">
      <c r="B3" s="19"/>
      <c r="C3" s="19"/>
      <c r="D3" s="19"/>
      <c r="E3" s="19"/>
    </row>
    <row r="4" customFormat="false" ht="19.5" hidden="false" customHeight="true" outlineLevel="0" collapsed="false">
      <c r="B4" s="20" t="s">
        <v>24</v>
      </c>
      <c r="C4" s="20"/>
      <c r="D4" s="20"/>
      <c r="E4" s="20"/>
    </row>
    <row r="5" customFormat="false" ht="3.75" hidden="false" customHeight="true" outlineLevel="0" collapsed="false">
      <c r="B5" s="4"/>
      <c r="C5" s="4"/>
      <c r="D5" s="4"/>
      <c r="E5" s="4"/>
    </row>
    <row r="6" customFormat="false" ht="18" hidden="false" customHeight="false" outlineLevel="0" collapsed="false"/>
    <row r="7" customFormat="false" ht="18" hidden="false" customHeight="false" outlineLevel="0" collapsed="false">
      <c r="B7" s="21" t="s">
        <v>25</v>
      </c>
      <c r="C7" s="22" t="n">
        <v>20000</v>
      </c>
    </row>
    <row r="8" customFormat="false" ht="23.85" hidden="false" customHeight="false" outlineLevel="0" collapsed="false">
      <c r="B8" s="21" t="s">
        <v>26</v>
      </c>
      <c r="C8" s="22" t="n">
        <v>0</v>
      </c>
    </row>
    <row r="9" customFormat="false" ht="18" hidden="false" customHeight="false" outlineLevel="0" collapsed="false">
      <c r="B9" s="23" t="s">
        <v>27</v>
      </c>
      <c r="C9" s="24" t="n">
        <f aca="false">C7-C8</f>
        <v>20000</v>
      </c>
    </row>
    <row r="10" customFormat="false" ht="18" hidden="false" customHeight="false" outlineLevel="0" collapsed="false"/>
    <row r="11" customFormat="false" ht="33.75" hidden="false" customHeight="true" outlineLevel="0" collapsed="false">
      <c r="B11" s="25" t="s">
        <v>28</v>
      </c>
      <c r="C11" s="26" t="s">
        <v>29</v>
      </c>
      <c r="D11" s="26" t="s">
        <v>30</v>
      </c>
      <c r="E11" s="26" t="s">
        <v>31</v>
      </c>
    </row>
    <row r="12" customFormat="false" ht="18" hidden="false" customHeight="false" outlineLevel="0" collapsed="false">
      <c r="B12" s="27" t="s">
        <v>32</v>
      </c>
      <c r="C12" s="22" t="n">
        <v>10000</v>
      </c>
      <c r="D12" s="28" t="n">
        <v>12</v>
      </c>
      <c r="E12" s="29" t="n">
        <f aca="false">IF(OR(C12="",D12=""),0,C12*D12/12)</f>
        <v>10000</v>
      </c>
    </row>
    <row r="13" customFormat="false" ht="18" hidden="false" customHeight="false" outlineLevel="0" collapsed="false">
      <c r="B13" s="27" t="s">
        <v>33</v>
      </c>
      <c r="C13" s="22" t="n">
        <v>2000</v>
      </c>
      <c r="D13" s="28" t="n">
        <v>3</v>
      </c>
      <c r="E13" s="29" t="n">
        <f aca="false">IF(OR(C13="",D13=""),0,C13*D13/12)</f>
        <v>500</v>
      </c>
    </row>
    <row r="14" customFormat="false" ht="18" hidden="false" customHeight="false" outlineLevel="0" collapsed="false">
      <c r="B14" s="27"/>
      <c r="C14" s="22"/>
      <c r="D14" s="28"/>
      <c r="E14" s="29" t="n">
        <f aca="false">IF(OR(C14="",D14=""),0,C14*D14/12)</f>
        <v>0</v>
      </c>
    </row>
    <row r="15" customFormat="false" ht="18" hidden="false" customHeight="false" outlineLevel="0" collapsed="false">
      <c r="B15" s="27"/>
      <c r="C15" s="22"/>
      <c r="D15" s="28"/>
      <c r="E15" s="29" t="n">
        <f aca="false">IF(OR(C15="",D15=""),0,C15*D15/12)</f>
        <v>0</v>
      </c>
    </row>
    <row r="16" customFormat="false" ht="18" hidden="false" customHeight="false" outlineLevel="0" collapsed="false">
      <c r="B16" s="27"/>
      <c r="C16" s="22"/>
      <c r="D16" s="28"/>
      <c r="E16" s="29" t="n">
        <f aca="false">IF(OR(C16="",D16=""),0,C16*D16/12)</f>
        <v>0</v>
      </c>
    </row>
    <row r="17" customFormat="false" ht="18" hidden="false" customHeight="false" outlineLevel="0" collapsed="false">
      <c r="B17" s="27"/>
      <c r="C17" s="22"/>
      <c r="D17" s="28"/>
      <c r="E17" s="29" t="n">
        <f aca="false">IF(OR(C17="",D17=""),0,C17*D17/12)</f>
        <v>0</v>
      </c>
    </row>
    <row r="18" customFormat="false" ht="18" hidden="false" customHeight="false" outlineLevel="0" collapsed="false">
      <c r="B18" s="23" t="s">
        <v>34</v>
      </c>
      <c r="E18" s="24" t="n">
        <f aca="false">SUM(E12:E17)</f>
        <v>10500</v>
      </c>
    </row>
    <row r="19" customFormat="false" ht="18" hidden="false" customHeight="false" outlineLevel="0" collapsed="false"/>
    <row r="20" customFormat="false" ht="18" hidden="false" customHeight="false" outlineLevel="0" collapsed="false">
      <c r="B20" s="23" t="s">
        <v>35</v>
      </c>
      <c r="E20" s="30" t="n">
        <f aca="false">IF(E18=0,0,C9/E18)</f>
        <v>1.9047619047619</v>
      </c>
    </row>
    <row r="21" customFormat="false" ht="18" hidden="false" customHeight="false" outlineLevel="0" collapsed="false"/>
    <row r="22" customFormat="false" ht="18" hidden="false" customHeight="true" outlineLevel="0" collapsed="false">
      <c r="B22" s="31" t="s">
        <v>36</v>
      </c>
      <c r="C22" s="31"/>
      <c r="D22" s="31"/>
      <c r="E22" s="31"/>
    </row>
    <row r="23" customFormat="false" ht="18" hidden="false" customHeight="false" outlineLevel="0" collapsed="false">
      <c r="B23" s="31"/>
      <c r="C23" s="31"/>
      <c r="D23" s="31"/>
      <c r="E23" s="31"/>
    </row>
    <row r="24" customFormat="false" ht="18" hidden="false" customHeight="false" outlineLevel="0" collapsed="false">
      <c r="B24" s="31"/>
      <c r="C24" s="31"/>
      <c r="D24" s="31"/>
      <c r="E24" s="31"/>
    </row>
  </sheetData>
  <mergeCells count="3">
    <mergeCell ref="B2:E3"/>
    <mergeCell ref="B4:E4"/>
    <mergeCell ref="B22:E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J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9" min="3" style="0" width="13"/>
    <col collapsed="false" customWidth="true" hidden="false" outlineLevel="0" max="10" min="10" style="0" width="10"/>
  </cols>
  <sheetData>
    <row r="1" customFormat="false" ht="18" hidden="false" customHeight="false" outlineLevel="0" collapsed="false"/>
    <row r="2" customFormat="false" ht="19.5" hidden="false" customHeight="true" outlineLevel="0" collapsed="false">
      <c r="B2" s="19" t="s">
        <v>11</v>
      </c>
      <c r="C2" s="19"/>
      <c r="D2" s="19"/>
      <c r="E2" s="19"/>
      <c r="F2" s="19"/>
      <c r="G2" s="19"/>
      <c r="H2" s="19"/>
      <c r="I2" s="19"/>
      <c r="J2" s="19"/>
    </row>
    <row r="3" customFormat="false" ht="19.5" hidden="false" customHeight="true" outlineLevel="0" collapsed="false">
      <c r="B3" s="19"/>
      <c r="C3" s="19"/>
      <c r="D3" s="19"/>
      <c r="E3" s="19"/>
      <c r="F3" s="19"/>
      <c r="G3" s="19"/>
      <c r="H3" s="19"/>
      <c r="I3" s="19"/>
      <c r="J3" s="19"/>
    </row>
    <row r="4" customFormat="false" ht="19.5" hidden="false" customHeight="true" outlineLevel="0" collapsed="false">
      <c r="B4" s="20" t="s">
        <v>37</v>
      </c>
      <c r="C4" s="20"/>
      <c r="D4" s="20"/>
      <c r="E4" s="20"/>
      <c r="F4" s="20"/>
      <c r="G4" s="20"/>
      <c r="H4" s="20"/>
      <c r="I4" s="20"/>
      <c r="J4" s="20"/>
    </row>
    <row r="5" customFormat="false" ht="3.75" hidden="false" customHeight="true" outlineLevel="0" collapsed="false">
      <c r="B5" s="4"/>
      <c r="C5" s="4"/>
      <c r="D5" s="4"/>
      <c r="E5" s="4"/>
      <c r="F5" s="4"/>
      <c r="G5" s="4"/>
      <c r="H5" s="4"/>
      <c r="I5" s="4"/>
      <c r="J5" s="4"/>
    </row>
    <row r="6" customFormat="false" ht="18" hidden="false" customHeight="false" outlineLevel="0" collapsed="false"/>
    <row r="7" customFormat="false" ht="23.85" hidden="false" customHeight="false" outlineLevel="0" collapsed="false">
      <c r="B7" s="21" t="s">
        <v>38</v>
      </c>
      <c r="E7" s="32" t="n">
        <v>12</v>
      </c>
    </row>
    <row r="8" customFormat="false" ht="18" hidden="false" customHeight="false" outlineLevel="0" collapsed="false">
      <c r="B8" s="21" t="s">
        <v>39</v>
      </c>
      <c r="E8" s="33" t="n">
        <v>0.25</v>
      </c>
    </row>
    <row r="9" customFormat="false" ht="18" hidden="false" customHeight="false" outlineLevel="0" collapsed="false"/>
    <row r="10" customFormat="false" ht="33.75" hidden="false" customHeight="true" outlineLevel="0" collapsed="false">
      <c r="B10" s="25" t="s">
        <v>40</v>
      </c>
      <c r="C10" s="26" t="s">
        <v>41</v>
      </c>
      <c r="D10" s="26" t="s">
        <v>42</v>
      </c>
      <c r="E10" s="26" t="s">
        <v>43</v>
      </c>
      <c r="F10" s="26" t="s">
        <v>44</v>
      </c>
      <c r="G10" s="26" t="s">
        <v>45</v>
      </c>
      <c r="H10" s="26"/>
      <c r="I10" s="26"/>
      <c r="J10" s="26" t="s">
        <v>46</v>
      </c>
    </row>
    <row r="11" customFormat="false" ht="18" hidden="false" customHeight="false" outlineLevel="0" collapsed="false">
      <c r="B11" s="27" t="s">
        <v>47</v>
      </c>
      <c r="C11" s="22" t="n">
        <v>1000</v>
      </c>
      <c r="D11" s="32" t="n">
        <v>8</v>
      </c>
      <c r="E11" s="29" t="n">
        <f aca="false">IF(OR(C11="",D11="",$E$7&lt;=D11),0,C11-C11*D11/$E$7)</f>
        <v>333.333333333333</v>
      </c>
      <c r="F11" s="29" t="n">
        <v>0</v>
      </c>
      <c r="G11" s="34" t="n">
        <f aca="false">IF(E11&gt;0,0,"")</f>
        <v>0</v>
      </c>
    </row>
    <row r="12" customFormat="false" ht="18" hidden="false" customHeight="false" outlineLevel="0" collapsed="false">
      <c r="B12" s="27"/>
      <c r="C12" s="22"/>
      <c r="D12" s="32"/>
      <c r="E12" s="29" t="n">
        <f aca="false">IF(OR(C12="",D12="",$E$7&lt;=D12),0,C12-C12*D12/$E$7)</f>
        <v>0</v>
      </c>
      <c r="F12" s="29" t="n">
        <v>0</v>
      </c>
      <c r="G12" s="34" t="str">
        <f aca="false">IF(E12&gt;0,0,"")</f>
        <v/>
      </c>
    </row>
    <row r="13" customFormat="false" ht="18" hidden="false" customHeight="false" outlineLevel="0" collapsed="false">
      <c r="B13" s="27"/>
      <c r="C13" s="22"/>
      <c r="D13" s="32"/>
      <c r="E13" s="29" t="n">
        <f aca="false">IF(OR(C13="",D13="",$E$7&lt;=D13),0,C13-C13*D13/$E$7)</f>
        <v>0</v>
      </c>
      <c r="F13" s="29" t="n">
        <v>0</v>
      </c>
      <c r="G13" s="34" t="str">
        <f aca="false">IF(E13&gt;0,0,"")</f>
        <v/>
      </c>
    </row>
    <row r="14" customFormat="false" ht="18" hidden="false" customHeight="false" outlineLevel="0" collapsed="false"/>
    <row r="15" customFormat="false" ht="33.75" hidden="false" customHeight="true" outlineLevel="0" collapsed="false">
      <c r="B15" s="25" t="s">
        <v>48</v>
      </c>
      <c r="C15" s="26" t="s">
        <v>49</v>
      </c>
      <c r="D15" s="26" t="s">
        <v>50</v>
      </c>
      <c r="E15" s="26" t="s">
        <v>51</v>
      </c>
      <c r="F15" s="26" t="s">
        <v>52</v>
      </c>
      <c r="G15" s="26" t="s">
        <v>45</v>
      </c>
      <c r="H15" s="26"/>
      <c r="I15" s="26"/>
      <c r="J15" s="26" t="s">
        <v>46</v>
      </c>
    </row>
    <row r="16" customFormat="false" ht="18" hidden="false" customHeight="false" outlineLevel="0" collapsed="false">
      <c r="B16" s="27" t="s">
        <v>53</v>
      </c>
      <c r="C16" s="22" t="n">
        <v>5000</v>
      </c>
      <c r="D16" s="33" t="n">
        <v>0.05</v>
      </c>
      <c r="E16" s="22" t="n">
        <v>1500</v>
      </c>
      <c r="F16" s="35" t="n">
        <f aca="false">IF(C16="",0,C16*D16*(1-$E$8))</f>
        <v>187.5</v>
      </c>
      <c r="G16" s="34" t="n">
        <f aca="false">IF(N(E16)&gt;0,F16/E16,"")</f>
        <v>0.125</v>
      </c>
    </row>
    <row r="17" customFormat="false" ht="18" hidden="false" customHeight="false" outlineLevel="0" collapsed="false">
      <c r="B17" s="27"/>
      <c r="C17" s="22"/>
      <c r="D17" s="33"/>
      <c r="E17" s="22"/>
      <c r="F17" s="35" t="n">
        <f aca="false">IF(C17="",0,C17*D17*(1-$E$8))</f>
        <v>0</v>
      </c>
      <c r="G17" s="34" t="str">
        <f aca="false">IF(N(E17)&gt;0,F17/E17,"")</f>
        <v/>
      </c>
    </row>
    <row r="18" customFormat="false" ht="18" hidden="false" customHeight="false" outlineLevel="0" collapsed="false"/>
    <row r="19" customFormat="false" ht="18" hidden="false" customHeight="true" outlineLevel="0" collapsed="false">
      <c r="B19" s="31" t="s">
        <v>54</v>
      </c>
      <c r="C19" s="31"/>
      <c r="D19" s="31"/>
      <c r="E19" s="31"/>
      <c r="F19" s="31"/>
      <c r="G19" s="31"/>
      <c r="H19" s="31"/>
      <c r="I19" s="31"/>
      <c r="J19" s="31"/>
    </row>
    <row r="20" customFormat="false" ht="18" hidden="false" customHeight="false" outlineLevel="0" collapsed="false">
      <c r="B20" s="31"/>
      <c r="C20" s="31"/>
      <c r="D20" s="31"/>
      <c r="E20" s="31"/>
      <c r="F20" s="31"/>
      <c r="G20" s="31"/>
      <c r="H20" s="31"/>
      <c r="I20" s="31"/>
      <c r="J20" s="31"/>
    </row>
    <row r="21" customFormat="false" ht="18" hidden="false" customHeight="false" outlineLevel="0" collapsed="false"/>
    <row r="22" customFormat="false" ht="33.75" hidden="false" customHeight="true" outlineLevel="0" collapsed="false">
      <c r="B22" s="25" t="s">
        <v>55</v>
      </c>
      <c r="C22" s="26" t="s">
        <v>43</v>
      </c>
      <c r="D22" s="26" t="s">
        <v>44</v>
      </c>
      <c r="E22" s="26" t="s">
        <v>45</v>
      </c>
      <c r="F22" s="26" t="s">
        <v>56</v>
      </c>
      <c r="G22" s="26"/>
      <c r="H22" s="26"/>
      <c r="I22" s="26"/>
      <c r="J22" s="26"/>
    </row>
    <row r="23" customFormat="false" ht="18" hidden="false" customHeight="false" outlineLevel="0" collapsed="false">
      <c r="B23" s="36" t="str">
        <f aca="false">IF(B11="","",B11)</f>
        <v>Employee share options</v>
      </c>
      <c r="C23" s="29" t="n">
        <f aca="false">N(E11)</f>
        <v>333.333333333333</v>
      </c>
      <c r="D23" s="35" t="n">
        <f aca="false">N(F11)</f>
        <v>0</v>
      </c>
      <c r="E23" s="34" t="n">
        <f aca="false">IF(C23&gt;0,D23/C23+ROW()/1000000000,"")</f>
        <v>2.3E-008</v>
      </c>
      <c r="F23" s="37" t="n">
        <f aca="false">IF(E23="","",COUNTIF($E$23:$E$27,"&lt;"&amp;E23)+1)</f>
        <v>1</v>
      </c>
    </row>
    <row r="24" customFormat="false" ht="18" hidden="false" customHeight="false" outlineLevel="0" collapsed="false">
      <c r="B24" s="36" t="str">
        <f aca="false">IF(B12="","",B12)</f>
        <v/>
      </c>
      <c r="C24" s="29" t="n">
        <f aca="false">N(E12)</f>
        <v>0</v>
      </c>
      <c r="D24" s="35" t="n">
        <f aca="false">N(F12)</f>
        <v>0</v>
      </c>
      <c r="E24" s="34" t="str">
        <f aca="false">IF(C24&gt;0,D24/C24+ROW()/1000000000,"")</f>
        <v/>
      </c>
      <c r="F24" s="37" t="str">
        <f aca="false">IF(E24="","",COUNTIF($E$23:$E$27,"&lt;"&amp;E24)+1)</f>
        <v/>
      </c>
    </row>
    <row r="25" customFormat="false" ht="18" hidden="false" customHeight="false" outlineLevel="0" collapsed="false">
      <c r="B25" s="36" t="str">
        <f aca="false">IF(B13="","",B13)</f>
        <v/>
      </c>
      <c r="C25" s="29" t="n">
        <f aca="false">N(E13)</f>
        <v>0</v>
      </c>
      <c r="D25" s="35" t="n">
        <f aca="false">N(F13)</f>
        <v>0</v>
      </c>
      <c r="E25" s="34" t="str">
        <f aca="false">IF(C25&gt;0,D25/C25+ROW()/1000000000,"")</f>
        <v/>
      </c>
      <c r="F25" s="37" t="str">
        <f aca="false">IF(E25="","",COUNTIF($E$23:$E$27,"&lt;"&amp;E25)+1)</f>
        <v/>
      </c>
    </row>
    <row r="26" customFormat="false" ht="18" hidden="false" customHeight="false" outlineLevel="0" collapsed="false">
      <c r="B26" s="36" t="str">
        <f aca="false">IF(B16="","",B16)</f>
        <v>5% convertible bond</v>
      </c>
      <c r="C26" s="29" t="n">
        <f aca="false">N(E16)</f>
        <v>1500</v>
      </c>
      <c r="D26" s="35" t="n">
        <f aca="false">N(F16)</f>
        <v>187.5</v>
      </c>
      <c r="E26" s="34" t="n">
        <f aca="false">IF(C26&gt;0,D26/C26+ROW()/1000000000,"")</f>
        <v>0.125000026</v>
      </c>
      <c r="F26" s="37" t="n">
        <f aca="false">IF(E26="","",COUNTIF($E$23:$E$27,"&lt;"&amp;E26)+1)</f>
        <v>2</v>
      </c>
    </row>
    <row r="27" customFormat="false" ht="18" hidden="false" customHeight="false" outlineLevel="0" collapsed="false">
      <c r="B27" s="36" t="str">
        <f aca="false">IF(B17="","",B17)</f>
        <v/>
      </c>
      <c r="C27" s="29" t="n">
        <f aca="false">N(E17)</f>
        <v>0</v>
      </c>
      <c r="D27" s="35" t="n">
        <f aca="false">N(F17)</f>
        <v>0</v>
      </c>
      <c r="E27" s="34" t="str">
        <f aca="false">IF(C27&gt;0,D27/C27+ROW()/1000000000,"")</f>
        <v/>
      </c>
      <c r="F27" s="37" t="str">
        <f aca="false">IF(E27="","",COUNTIF($E$23:$E$27,"&lt;"&amp;E27)+1)</f>
        <v/>
      </c>
    </row>
    <row r="28" customFormat="false" ht="18" hidden="false" customHeight="false" outlineLevel="0" collapsed="false"/>
    <row r="29" customFormat="false" ht="33.75" hidden="false" customHeight="true" outlineLevel="0" collapsed="false">
      <c r="B29" s="25" t="s">
        <v>57</v>
      </c>
      <c r="C29" s="26" t="s">
        <v>58</v>
      </c>
      <c r="D29" s="26" t="s">
        <v>59</v>
      </c>
      <c r="E29" s="26" t="s">
        <v>60</v>
      </c>
      <c r="F29" s="26" t="s">
        <v>61</v>
      </c>
      <c r="G29" s="26" t="s">
        <v>62</v>
      </c>
      <c r="H29" s="26"/>
      <c r="I29" s="26"/>
      <c r="J29" s="26" t="s">
        <v>46</v>
      </c>
    </row>
    <row r="30" customFormat="false" ht="18" hidden="false" customHeight="false" outlineLevel="0" collapsed="false">
      <c r="B30" s="36" t="s">
        <v>63</v>
      </c>
      <c r="C30" s="36" t="s">
        <v>10</v>
      </c>
      <c r="D30" s="35" t="n">
        <f aca="false">'Basic EPS'!C9</f>
        <v>20000</v>
      </c>
      <c r="E30" s="29" t="n">
        <f aca="false">'Basic EPS'!E18</f>
        <v>10500</v>
      </c>
      <c r="F30" s="38" t="n">
        <f aca="false">IF(E30=0,0,D30/E30)</f>
        <v>1.9047619047619</v>
      </c>
    </row>
    <row r="31" customFormat="false" ht="18" hidden="false" customHeight="false" outlineLevel="0" collapsed="false">
      <c r="B31" s="36" t="s">
        <v>64</v>
      </c>
      <c r="C31" s="36" t="str">
        <f aca="false">IFERROR(INDEX($B$23:$B$27,MATCH(1,$F$23:$F$27,0)),"")</f>
        <v>Employee share options</v>
      </c>
      <c r="D31" s="35" t="n">
        <f aca="false">IF(LEFT(G31,3)="Yes",D30+IFERROR(INDEX($D$23:$D$27,MATCH(1,$F$23:$F$27,0)),0),D30)</f>
        <v>20000</v>
      </c>
      <c r="E31" s="29" t="n">
        <f aca="false">IF(LEFT(G31,3)="Yes",E30+IFERROR(INDEX($C$23:$C$27,MATCH(1,$F$23:$F$27,0)),0),E30)</f>
        <v>10833.3333333333</v>
      </c>
      <c r="F31" s="38" t="n">
        <f aca="false">IF(E31=0,0,D31/E31)</f>
        <v>1.84615384615385</v>
      </c>
      <c r="G31" s="36" t="str">
        <f aca="false">IF(C31="","",IF(IF(E30+IFERROR(INDEX($C$23:$C$27,MATCH(1,$F$23:$F$27,0)),0)=0,0,(D30+IFERROR(INDEX($D$23:$D$27,MATCH(1,$F$23:$F$27,0)),0))/(E30+IFERROR(INDEX($C$23:$C$27,MATCH(1,$F$23:$F$27,0)),0)))&lt;F30,"Yes, dilutive","No, antidilutive"))</f>
        <v>Yes, dilutive</v>
      </c>
    </row>
    <row r="32" customFormat="false" ht="18" hidden="false" customHeight="false" outlineLevel="0" collapsed="false">
      <c r="B32" s="36" t="s">
        <v>65</v>
      </c>
      <c r="C32" s="36" t="str">
        <f aca="false">IFERROR(INDEX($B$23:$B$27,MATCH(2,$F$23:$F$27,0)),"")</f>
        <v>5% convertible bond</v>
      </c>
      <c r="D32" s="35" t="n">
        <f aca="false">IF(LEFT(G32,3)="Yes",D31+IFERROR(INDEX($D$23:$D$27,MATCH(2,$F$23:$F$27,0)),0),D31)</f>
        <v>20187.5</v>
      </c>
      <c r="E32" s="29" t="n">
        <f aca="false">IF(LEFT(G32,3)="Yes",E31+IFERROR(INDEX($C$23:$C$27,MATCH(2,$F$23:$F$27,0)),0),E31)</f>
        <v>12333.3333333333</v>
      </c>
      <c r="F32" s="38" t="n">
        <f aca="false">IF(E32=0,0,D32/E32)</f>
        <v>1.63682432432432</v>
      </c>
      <c r="G32" s="36" t="str">
        <f aca="false">IF(C32="","",IF(IF(E31+IFERROR(INDEX($C$23:$C$27,MATCH(2,$F$23:$F$27,0)),0)=0,0,(D31+IFERROR(INDEX($D$23:$D$27,MATCH(2,$F$23:$F$27,0)),0))/(E31+IFERROR(INDEX($C$23:$C$27,MATCH(2,$F$23:$F$27,0)),0)))&lt;F31,"Yes, dilutive","No, antidilutive"))</f>
        <v>Yes, dilutive</v>
      </c>
    </row>
    <row r="33" customFormat="false" ht="18" hidden="false" customHeight="false" outlineLevel="0" collapsed="false">
      <c r="B33" s="36" t="s">
        <v>66</v>
      </c>
      <c r="C33" s="36" t="str">
        <f aca="false">IFERROR(INDEX($B$23:$B$27,MATCH(3,$F$23:$F$27,0)),"")</f>
        <v/>
      </c>
      <c r="D33" s="35" t="n">
        <f aca="false">IF(LEFT(G33,3)="Yes",D32+IFERROR(INDEX($D$23:$D$27,MATCH(3,$F$23:$F$27,0)),0),D32)</f>
        <v>20187.5</v>
      </c>
      <c r="E33" s="29" t="n">
        <f aca="false">IF(LEFT(G33,3)="Yes",E32+IFERROR(INDEX($C$23:$C$27,MATCH(3,$F$23:$F$27,0)),0),E32)</f>
        <v>12333.3333333333</v>
      </c>
      <c r="F33" s="38" t="n">
        <f aca="false">IF(E33=0,0,D33/E33)</f>
        <v>1.63682432432432</v>
      </c>
      <c r="G33" s="36" t="str">
        <f aca="false">IF(C33="","",IF(IF(E32+IFERROR(INDEX($C$23:$C$27,MATCH(3,$F$23:$F$27,0)),0)=0,0,(D32+IFERROR(INDEX($D$23:$D$27,MATCH(3,$F$23:$F$27,0)),0))/(E32+IFERROR(INDEX($C$23:$C$27,MATCH(3,$F$23:$F$27,0)),0)))&lt;F32,"Yes, dilutive","No, antidilutive"))</f>
        <v/>
      </c>
    </row>
    <row r="34" customFormat="false" ht="18" hidden="false" customHeight="false" outlineLevel="0" collapsed="false">
      <c r="B34" s="36" t="s">
        <v>67</v>
      </c>
      <c r="C34" s="36" t="str">
        <f aca="false">IFERROR(INDEX($B$23:$B$27,MATCH(4,$F$23:$F$27,0)),"")</f>
        <v/>
      </c>
      <c r="D34" s="35" t="n">
        <f aca="false">IF(LEFT(G34,3)="Yes",D33+IFERROR(INDEX($D$23:$D$27,MATCH(4,$F$23:$F$27,0)),0),D33)</f>
        <v>20187.5</v>
      </c>
      <c r="E34" s="29" t="n">
        <f aca="false">IF(LEFT(G34,3)="Yes",E33+IFERROR(INDEX($C$23:$C$27,MATCH(4,$F$23:$F$27,0)),0),E33)</f>
        <v>12333.3333333333</v>
      </c>
      <c r="F34" s="38" t="n">
        <f aca="false">IF(E34=0,0,D34/E34)</f>
        <v>1.63682432432432</v>
      </c>
      <c r="G34" s="36" t="str">
        <f aca="false">IF(C34="","",IF(IF(E33+IFERROR(INDEX($C$23:$C$27,MATCH(4,$F$23:$F$27,0)),0)=0,0,(D33+IFERROR(INDEX($D$23:$D$27,MATCH(4,$F$23:$F$27,0)),0))/(E33+IFERROR(INDEX($C$23:$C$27,MATCH(4,$F$23:$F$27,0)),0)))&lt;F33,"Yes, dilutive","No, antidilutive"))</f>
        <v/>
      </c>
    </row>
    <row r="35" customFormat="false" ht="18" hidden="false" customHeight="false" outlineLevel="0" collapsed="false">
      <c r="B35" s="36" t="s">
        <v>68</v>
      </c>
      <c r="C35" s="36" t="str">
        <f aca="false">IFERROR(INDEX($B$23:$B$27,MATCH(5,$F$23:$F$27,0)),"")</f>
        <v/>
      </c>
      <c r="D35" s="35" t="n">
        <f aca="false">IF(LEFT(G35,3)="Yes",D34+IFERROR(INDEX($D$23:$D$27,MATCH(5,$F$23:$F$27,0)),0),D34)</f>
        <v>20187.5</v>
      </c>
      <c r="E35" s="29" t="n">
        <f aca="false">IF(LEFT(G35,3)="Yes",E34+IFERROR(INDEX($C$23:$C$27,MATCH(5,$F$23:$F$27,0)),0),E34)</f>
        <v>12333.3333333333</v>
      </c>
      <c r="F35" s="38" t="n">
        <f aca="false">IF(E35=0,0,D35/E35)</f>
        <v>1.63682432432432</v>
      </c>
      <c r="G35" s="36" t="str">
        <f aca="false">IF(C35="","",IF(IF(E34+IFERROR(INDEX($C$23:$C$27,MATCH(5,$F$23:$F$27,0)),0)=0,0,(D34+IFERROR(INDEX($D$23:$D$27,MATCH(5,$F$23:$F$27,0)),0))/(E34+IFERROR(INDEX($C$23:$C$27,MATCH(5,$F$23:$F$27,0)),0)))&lt;F34,"Yes, dilutive","No, antidilutive"))</f>
        <v/>
      </c>
    </row>
    <row r="36" customFormat="false" ht="18" hidden="false" customHeight="false" outlineLevel="0" collapsed="false"/>
    <row r="37" customFormat="false" ht="18" hidden="false" customHeight="false" outlineLevel="0" collapsed="false">
      <c r="B37" s="23" t="s">
        <v>69</v>
      </c>
      <c r="F37" s="30" t="n">
        <f aca="false">F35</f>
        <v>1.63682432432432</v>
      </c>
    </row>
    <row r="38" customFormat="false" ht="18" hidden="false" customHeight="false" outlineLevel="0" collapsed="false">
      <c r="B38" s="39" t="s">
        <v>70</v>
      </c>
      <c r="F38" s="40" t="str">
        <f aca="false">IF(F37&lt;=F30+0.000001,"✓ Correct","✗ Check the inputs")</f>
        <v>✓ Correct</v>
      </c>
      <c r="G38" s="40"/>
    </row>
    <row r="39" customFormat="false" ht="18" hidden="false" customHeight="false" outlineLevel="0" collapsed="false"/>
    <row r="40" customFormat="false" ht="18" hidden="false" customHeight="true" outlineLevel="0" collapsed="false">
      <c r="B40" s="31" t="s">
        <v>71</v>
      </c>
      <c r="C40" s="31"/>
      <c r="D40" s="31"/>
      <c r="E40" s="31"/>
      <c r="F40" s="31"/>
      <c r="G40" s="31"/>
      <c r="H40" s="31"/>
      <c r="I40" s="31"/>
      <c r="J40" s="31"/>
    </row>
    <row r="41" customFormat="false" ht="18" hidden="false" customHeight="false" outlineLevel="0" collapsed="false">
      <c r="B41" s="31"/>
      <c r="C41" s="31"/>
      <c r="D41" s="31"/>
      <c r="E41" s="31"/>
      <c r="F41" s="31"/>
      <c r="G41" s="31"/>
      <c r="H41" s="31"/>
      <c r="I41" s="31"/>
      <c r="J41" s="31"/>
    </row>
    <row r="42" customFormat="false" ht="18" hidden="false" customHeight="false" outlineLevel="0" collapsed="false">
      <c r="B42" s="31"/>
      <c r="C42" s="31"/>
      <c r="D42" s="31"/>
      <c r="E42" s="31"/>
      <c r="F42" s="31"/>
      <c r="G42" s="31"/>
      <c r="H42" s="31"/>
      <c r="I42" s="31"/>
      <c r="J42" s="31"/>
    </row>
  </sheetData>
  <mergeCells count="5">
    <mergeCell ref="B2:J3"/>
    <mergeCell ref="B4:J4"/>
    <mergeCell ref="B19:J20"/>
    <mergeCell ref="F38:G38"/>
    <mergeCell ref="B40:J42"/>
  </mergeCells>
  <conditionalFormatting sqref="F38">
    <cfRule type="expression" priority="2" aboveAverage="0" equalAverage="0" bottom="0" percent="0" rank="0" text="" dxfId="0">
      <formula>LEFT(F38,1)="✓"</formula>
    </cfRule>
    <cfRule type="expression" priority="3" aboveAverage="0" equalAverage="0" bottom="0" percent="0" rank="0" text="" dxfId="1">
      <formula>LEFT(F38,1)&lt;&gt;"✓"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4"/>
    <col collapsed="false" customWidth="true" hidden="false" outlineLevel="0" max="6" min="3" style="0" width="13"/>
    <col collapsed="false" customWidth="true" hidden="false" outlineLevel="0" max="8" min="7" style="0" width="14"/>
  </cols>
  <sheetData>
    <row r="1" customFormat="false" ht="18" hidden="false" customHeight="false" outlineLevel="0" collapsed="false"/>
    <row r="2" customFormat="false" ht="19.5" hidden="false" customHeight="true" outlineLevel="0" collapsed="false">
      <c r="B2" s="19" t="s">
        <v>72</v>
      </c>
      <c r="C2" s="19"/>
      <c r="D2" s="19"/>
      <c r="E2" s="19"/>
      <c r="F2" s="19"/>
      <c r="G2" s="19"/>
      <c r="H2" s="19"/>
    </row>
    <row r="3" customFormat="false" ht="19.5" hidden="false" customHeight="true" outlineLevel="0" collapsed="false">
      <c r="B3" s="19"/>
      <c r="C3" s="19"/>
      <c r="D3" s="19"/>
      <c r="E3" s="19"/>
      <c r="F3" s="19"/>
      <c r="G3" s="19"/>
      <c r="H3" s="19"/>
    </row>
    <row r="4" customFormat="false" ht="19.5" hidden="false" customHeight="true" outlineLevel="0" collapsed="false">
      <c r="B4" s="20" t="s">
        <v>73</v>
      </c>
      <c r="C4" s="20"/>
      <c r="D4" s="20"/>
      <c r="E4" s="20"/>
      <c r="F4" s="20"/>
      <c r="G4" s="20"/>
      <c r="H4" s="20"/>
    </row>
    <row r="5" customFormat="false" ht="3.75" hidden="false" customHeight="true" outlineLevel="0" collapsed="false">
      <c r="B5" s="4"/>
      <c r="C5" s="4"/>
      <c r="D5" s="4"/>
      <c r="E5" s="4"/>
      <c r="F5" s="4"/>
      <c r="G5" s="4"/>
      <c r="H5" s="4"/>
    </row>
    <row r="6" customFormat="false" ht="18" hidden="false" customHeight="false" outlineLevel="0" collapsed="false"/>
    <row r="7" customFormat="false" ht="18" hidden="false" customHeight="false" outlineLevel="0" collapsed="false">
      <c r="B7" s="21" t="s">
        <v>74</v>
      </c>
      <c r="C7" s="22" t="n">
        <v>3000</v>
      </c>
    </row>
    <row r="8" customFormat="false" ht="18" hidden="false" customHeight="false" outlineLevel="0" collapsed="false">
      <c r="B8" s="21" t="s">
        <v>42</v>
      </c>
      <c r="C8" s="32" t="n">
        <v>8</v>
      </c>
    </row>
    <row r="9" customFormat="false" ht="18" hidden="false" customHeight="false" outlineLevel="0" collapsed="false"/>
    <row r="10" customFormat="false" ht="33.75" hidden="false" customHeight="true" outlineLevel="0" collapsed="false">
      <c r="B10" s="25"/>
      <c r="C10" s="26" t="s">
        <v>75</v>
      </c>
      <c r="D10" s="26" t="s">
        <v>76</v>
      </c>
      <c r="E10" s="26" t="s">
        <v>77</v>
      </c>
      <c r="F10" s="26" t="s">
        <v>78</v>
      </c>
      <c r="G10" s="26" t="s">
        <v>79</v>
      </c>
      <c r="H10" s="26" t="s">
        <v>80</v>
      </c>
    </row>
    <row r="11" customFormat="false" ht="18" hidden="false" customHeight="false" outlineLevel="0" collapsed="false">
      <c r="B11" s="36" t="s">
        <v>81</v>
      </c>
      <c r="C11" s="22" t="n">
        <v>5000</v>
      </c>
      <c r="D11" s="22" t="n">
        <v>7000</v>
      </c>
      <c r="E11" s="22" t="n">
        <v>6000</v>
      </c>
      <c r="F11" s="22" t="n">
        <v>8000</v>
      </c>
      <c r="G11" s="29" t="n">
        <f aca="false">C11+D11</f>
        <v>12000</v>
      </c>
      <c r="H11" s="29" t="n">
        <f aca="false">SUM(C11:F11)</f>
        <v>26000</v>
      </c>
    </row>
    <row r="12" customFormat="false" ht="18" hidden="false" customHeight="false" outlineLevel="0" collapsed="false">
      <c r="B12" s="36" t="s">
        <v>82</v>
      </c>
      <c r="C12" s="22" t="n">
        <v>10000</v>
      </c>
      <c r="D12" s="22" t="n">
        <v>10000</v>
      </c>
      <c r="E12" s="22" t="n">
        <v>10000</v>
      </c>
      <c r="F12" s="22" t="n">
        <v>10000</v>
      </c>
      <c r="G12" s="29" t="n">
        <f aca="false">AVERAGE(C12:D12)</f>
        <v>10000</v>
      </c>
      <c r="H12" s="29" t="n">
        <f aca="false">AVERAGE(C12:F12)</f>
        <v>10000</v>
      </c>
    </row>
    <row r="13" customFormat="false" ht="18" hidden="false" customHeight="false" outlineLevel="0" collapsed="false">
      <c r="B13" s="36" t="s">
        <v>83</v>
      </c>
      <c r="C13" s="32" t="n">
        <v>9</v>
      </c>
      <c r="D13" s="32" t="n">
        <v>20</v>
      </c>
      <c r="E13" s="32" t="n">
        <v>15</v>
      </c>
      <c r="F13" s="32" t="n">
        <v>18</v>
      </c>
      <c r="G13" s="35" t="n">
        <f aca="false">AVERAGE(C13:D13)</f>
        <v>14.5</v>
      </c>
      <c r="H13" s="35" t="n">
        <f aca="false">AVERAGE(C13:F13)</f>
        <v>15.5</v>
      </c>
    </row>
    <row r="14" customFormat="false" ht="18" hidden="false" customHeight="false" outlineLevel="0" collapsed="false">
      <c r="B14" s="36" t="s">
        <v>84</v>
      </c>
      <c r="C14" s="29" t="n">
        <f aca="false">IF(C13&lt;=$C$8,0,$C$7-$C$7*$C$8/C13)</f>
        <v>333.333333333334</v>
      </c>
      <c r="D14" s="29" t="n">
        <f aca="false">IF(D13&lt;=$C$8,0,$C$7-$C$7*$C$8/D13)</f>
        <v>1800</v>
      </c>
      <c r="E14" s="29" t="n">
        <f aca="false">IF(E13&lt;=$C$8,0,$C$7-$C$7*$C$8/E13)</f>
        <v>1400</v>
      </c>
      <c r="F14" s="29" t="n">
        <f aca="false">IF(F13&lt;=$C$8,0,$C$7-$C$7*$C$8/F13)</f>
        <v>1666.66666666667</v>
      </c>
      <c r="G14" s="29" t="n">
        <f aca="false">IF(G13&lt;=$C$8,0,$C$7-$C$7*$C$8/G13)</f>
        <v>1344.8275862069</v>
      </c>
      <c r="H14" s="29" t="n">
        <f aca="false">IF(H13&lt;=$C$8,0,$C$7-$C$7*$C$8/H13)</f>
        <v>1451.61290322581</v>
      </c>
    </row>
    <row r="15" customFormat="false" ht="18" hidden="false" customHeight="false" outlineLevel="0" collapsed="false">
      <c r="B15" s="36" t="s">
        <v>85</v>
      </c>
      <c r="G15" s="29" t="n">
        <f aca="false">AVERAGE(C14:D14)</f>
        <v>1066.66666666667</v>
      </c>
      <c r="H15" s="29" t="n">
        <f aca="false">AVERAGE(C14:F14)</f>
        <v>1300</v>
      </c>
    </row>
    <row r="16" customFormat="false" ht="18" hidden="false" customHeight="false" outlineLevel="0" collapsed="false"/>
    <row r="17" customFormat="false" ht="18" hidden="false" customHeight="false" outlineLevel="0" collapsed="false">
      <c r="B17" s="23" t="s">
        <v>86</v>
      </c>
      <c r="C17" s="30" t="n">
        <f aca="false">C11/(C12+C14)</f>
        <v>0.483870967741935</v>
      </c>
      <c r="D17" s="30" t="n">
        <f aca="false">D11/(D12+D14)</f>
        <v>0.593220338983051</v>
      </c>
      <c r="E17" s="30" t="n">
        <f aca="false">E11/(E12+E14)</f>
        <v>0.526315789473684</v>
      </c>
      <c r="F17" s="30" t="n">
        <f aca="false">F11/(F12+F14)</f>
        <v>0.685714285714286</v>
      </c>
      <c r="G17" s="30" t="n">
        <f aca="false">G11/(G12+G14)</f>
        <v>1.05775075987842</v>
      </c>
      <c r="H17" s="30" t="n">
        <f aca="false">H11/(H12+H14)</f>
        <v>2.27042253521127</v>
      </c>
    </row>
    <row r="18" customFormat="false" ht="18" hidden="false" customHeight="false" outlineLevel="0" collapsed="false">
      <c r="B18" s="23" t="s">
        <v>87</v>
      </c>
      <c r="C18" s="30" t="n">
        <f aca="false">C17</f>
        <v>0.483870967741935</v>
      </c>
      <c r="D18" s="30" t="n">
        <f aca="false">D17</f>
        <v>0.593220338983051</v>
      </c>
      <c r="E18" s="30" t="n">
        <f aca="false">E17</f>
        <v>0.526315789473684</v>
      </c>
      <c r="F18" s="30" t="n">
        <f aca="false">F17</f>
        <v>0.685714285714286</v>
      </c>
      <c r="G18" s="30" t="n">
        <f aca="false">G11/(G12+G15)</f>
        <v>1.08433734939759</v>
      </c>
      <c r="H18" s="30" t="n">
        <f aca="false">H11/(H12+H15)</f>
        <v>2.30088495575221</v>
      </c>
    </row>
    <row r="19" customFormat="false" ht="18" hidden="false" customHeight="false" outlineLevel="0" collapsed="false"/>
    <row r="20" customFormat="false" ht="18" hidden="false" customHeight="true" outlineLevel="0" collapsed="false">
      <c r="B20" s="31" t="s">
        <v>88</v>
      </c>
      <c r="C20" s="31"/>
      <c r="D20" s="31"/>
      <c r="E20" s="31"/>
      <c r="F20" s="31"/>
      <c r="G20" s="31"/>
      <c r="H20" s="31"/>
    </row>
    <row r="21" customFormat="false" ht="18" hidden="false" customHeight="false" outlineLevel="0" collapsed="false">
      <c r="B21" s="31"/>
      <c r="C21" s="31"/>
      <c r="D21" s="31"/>
      <c r="E21" s="31"/>
      <c r="F21" s="31"/>
      <c r="G21" s="31"/>
      <c r="H21" s="31"/>
    </row>
    <row r="22" customFormat="false" ht="18" hidden="false" customHeight="false" outlineLevel="0" collapsed="false">
      <c r="B22" s="31"/>
      <c r="C22" s="31"/>
      <c r="D22" s="31"/>
      <c r="E22" s="31"/>
      <c r="F22" s="31"/>
      <c r="G22" s="31"/>
      <c r="H22" s="31"/>
    </row>
  </sheetData>
  <mergeCells count="3">
    <mergeCell ref="B2:H3"/>
    <mergeCell ref="B4:H4"/>
    <mergeCell ref="B20:H2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2026-10-26T07:26:44Z</dcterms:created>
  <dc:creator>openpyxl</dc:creator>
  <dc:description/>
  <dc:language>en-US</dc:language>
  <cp:lastModifiedBy/>
  <dcterms:modified xsi:type="dcterms:W3CDTF">2026-10-26T12:26:53Z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