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Loan" sheetId="2" state="visible" r:id="rId4"/>
    <sheet name="Schedule" sheetId="3" state="visible" r:id="rId5"/>
    <sheet name="Modification"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<sst xmlns="http://schemas.openxmlformats.org/spreadsheetml/2006/main" count="70" uniqueCount="66">
  <si>
    <t xml:space="preserve">Effective interest calculator</t>
  </si>
  <si>
    <t xml:space="preserve">IFRS 9 amortised cost: effective interest rate, schedule and modifications</t>
  </si>
  <si>
    <t xml:space="preserve">HOW IT WORKS</t>
  </si>
  <si>
    <t xml:space="preserve">Enter the loan terms</t>
  </si>
  <si>
    <t xml:space="preserve">Read the effective rate</t>
  </si>
  <si>
    <t xml:space="preserve">Test a modification</t>
  </si>
  <si>
    <t xml:space="preserve">Face amount, coupon, term and fees</t>
  </si>
  <si>
    <t xml:space="preserve">Calculated from the cash flows</t>
  </si>
  <si>
    <t xml:space="preserve">The 10% test and the gain or loss</t>
  </si>
  <si>
    <t xml:space="preserve">LIVE RESULTS</t>
  </si>
  <si>
    <t xml:space="preserve">Initial carrying amount</t>
  </si>
  <si>
    <t xml:space="preserve">Effective interest rate</t>
  </si>
  <si>
    <t xml:space="preserve">Interest, year 1</t>
  </si>
  <si>
    <t xml:space="preserve">Checks</t>
  </si>
  <si>
    <t xml:space="preserve">COLOUR KEY</t>
  </si>
  <si>
    <t xml:space="preserve">You type here</t>
  </si>
  <si>
    <t xml:space="preserve">Calculated for you</t>
  </si>
  <si>
    <t xml:space="preserve">✓ Check passed</t>
  </si>
  <si>
    <t xml:space="preserve">✗ Needs attention</t>
  </si>
  <si>
    <t xml:space="preserve">JUMP TO</t>
  </si>
  <si>
    <t xml:space="preserve">Loan  ›</t>
  </si>
  <si>
    <t xml:space="preserve">Schedule  ›</t>
  </si>
  <si>
    <t xml:space="preserve">Modification  ›</t>
  </si>
  <si>
    <t xml:space="preserve">Example: Northline Telecom, a fictional company, in CU million. Replace the figures with your own. General information, not advice. taxbakers.com/ifrs-18</t>
  </si>
  <si>
    <t xml:space="preserve">Loan</t>
  </si>
  <si>
    <t xml:space="preserve">A loan or bond at amortised cost under IFRS 9. Enter the terms; the effective interest rate is calculated from the cash flows. CU.</t>
  </si>
  <si>
    <t xml:space="preserve">INPUTS</t>
  </si>
  <si>
    <t xml:space="preserve">RESULTS</t>
  </si>
  <si>
    <t xml:space="preserve">Face amount (repaid at the end)</t>
  </si>
  <si>
    <t xml:space="preserve">Annual coupon rate</t>
  </si>
  <si>
    <t xml:space="preserve">Annual coupon paid</t>
  </si>
  <si>
    <t xml:space="preserve">Term (years, up to 20)</t>
  </si>
  <si>
    <t xml:space="preserve">Upfront fees and costs that reduce the amount</t>
  </si>
  <si>
    <t xml:space="preserve">Total interest over the term</t>
  </si>
  <si>
    <t xml:space="preserve">Discount (-) or premium (+) on issue</t>
  </si>
  <si>
    <t xml:space="preserve">Total cash coupons</t>
  </si>
  <si>
    <t xml:space="preserve">Whose books</t>
  </si>
  <si>
    <t xml:space="preserve">Borrower (liability)</t>
  </si>
  <si>
    <t xml:space="preserve">Fees and discount spread as extra interest</t>
  </si>
  <si>
    <t xml:space="preserve">CHECKS</t>
  </si>
  <si>
    <t xml:space="preserve">The effective interest rate exactly discounts the estimated future cash flows to the initial carrying amount (IFRS 9 Appendix A). Fees that are an integral part of the rate, such as arrangement fees, are included; the rate is not changed for later changes in market rates.</t>
  </si>
  <si>
    <t xml:space="preserve">Term between 1 and 20 years</t>
  </si>
  <si>
    <t xml:space="preserve">Carrying amount reaches nil at maturity</t>
  </si>
  <si>
    <t xml:space="preserve">Schedule</t>
  </si>
  <si>
    <t xml:space="preserve">The amortised cost schedule at the effective interest rate. CU.</t>
  </si>
  <si>
    <t xml:space="preserve">Year</t>
  </si>
  <si>
    <t xml:space="preserve">Opening carrying amount</t>
  </si>
  <si>
    <t xml:space="preserve">Interest at the effective rate</t>
  </si>
  <si>
    <t xml:space="preserve">Cash coupon</t>
  </si>
  <si>
    <t xml:space="preserve">Repayment</t>
  </si>
  <si>
    <t xml:space="preserve">Closing carrying amount</t>
  </si>
  <si>
    <t xml:space="preserve">Cash flow (for the rate)</t>
  </si>
  <si>
    <t xml:space="preserve">Modification</t>
  </si>
  <si>
    <t xml:space="preserve">The loan's terms are renegotiated. Is it a substantial modification, and what is the gain or loss? CU.</t>
  </si>
  <si>
    <t xml:space="preserve">Terms change at the end of year</t>
  </si>
  <si>
    <t xml:space="preserve">Carrying amount just before the change</t>
  </si>
  <si>
    <t xml:space="preserve">New annual coupon rate</t>
  </si>
  <si>
    <t xml:space="preserve">Present value of new cash flows at the original rate</t>
  </si>
  <si>
    <t xml:space="preserve">New remaining term (years)</t>
  </si>
  <si>
    <t xml:space="preserve">Same, including fees paid (for the 10% test)</t>
  </si>
  <si>
    <t xml:space="preserve">Fees paid by the borrower on the change</t>
  </si>
  <si>
    <t xml:space="preserve">Difference for the 10% test</t>
  </si>
  <si>
    <t xml:space="preserve">Result of the 10% test</t>
  </si>
  <si>
    <t xml:space="preserve">Change happens within the loan's term</t>
  </si>
  <si>
    <t xml:space="preserve">Gain (+) or loss (-) on a non-substantial change</t>
  </si>
  <si>
    <t xml:space="preserve">For a financial liability, the 10% test compares the present value of the cash flows under the new terms, including fees paid net of fees received and discounted at the original effective interest rate, with the carrying amount of the original liability (IFRS 9.B3.3.6). Qualitative factors can also make a change substantial. For a financial asset, a modification that is not a derecognition is measured the same way: the gross carrying amount is recalculated at the original rate and the difference goes to profit or loss.</t>
  </si>
</sst>
</file>

<file path=xl/styles.xml><?xml version="1.0" encoding="utf-8"?>
<styleSheet xmlns="http://schemas.openxmlformats.org/spreadsheetml/2006/main">
  <numFmts count="8">
    <numFmt numFmtId="164" formatCode="General"/>
    <numFmt numFmtId="165" formatCode="#,##0"/>
    <numFmt numFmtId="166" formatCode="0.00%"/>
    <numFmt numFmtId="167" formatCode="#,##0;\(#,##0\);;"/>
    <numFmt numFmtId="168" formatCode="#,##0.00;\(#,##0.00\);;"/>
    <numFmt numFmtId="169" formatCode="0.0%;\(0.0%\);;"/>
    <numFmt numFmtId="170" formatCode="0"/>
    <numFmt numFmtId="171" formatCode="0.000%"/>
  </numFmts>
  <fonts count="26">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sz val="11"/>
      <color rgb="FFCFE0E3"/>
      <name val="Arial"/>
      <family val="0"/>
      <charset val="1"/>
    </font>
    <font>
      <b val="true"/>
      <sz val="9"/>
      <color rgb="FF86BC25"/>
      <name val="Arial"/>
      <family val="0"/>
      <charset val="1"/>
    </font>
    <font>
      <b val="true"/>
      <sz val="28"/>
      <color rgb="FF86BC25"/>
      <name val="Arial"/>
      <family val="0"/>
      <charset val="1"/>
    </font>
    <font>
      <b val="true"/>
      <sz val="12"/>
      <color rgb="FF0E3D4A"/>
      <name val="Arial"/>
      <family val="0"/>
      <charset val="1"/>
    </font>
    <font>
      <sz val="9"/>
      <color rgb="FF6B7A80"/>
      <name val="Arial"/>
      <family val="0"/>
      <charset val="1"/>
    </font>
    <font>
      <b val="true"/>
      <sz val="20"/>
      <color rgb="FF0E3D4A"/>
      <name val="Arial"/>
      <family val="0"/>
      <charset val="1"/>
    </font>
    <font>
      <b val="true"/>
      <sz val="10"/>
      <name val="Arial"/>
      <family val="0"/>
      <charset val="1"/>
    </font>
    <font>
      <b val="true"/>
      <sz val="10"/>
      <color rgb="FF0000FF"/>
      <name val="Arial"/>
      <family val="0"/>
      <charset val="1"/>
    </font>
    <font>
      <b val="true"/>
      <sz val="10"/>
      <color rgb="FF0E3D4A"/>
      <name val="Arial"/>
      <family val="0"/>
      <charset val="1"/>
    </font>
    <font>
      <b val="true"/>
      <sz val="10"/>
      <color rgb="FF2E6B12"/>
      <name val="Arial"/>
      <family val="0"/>
      <charset val="1"/>
    </font>
    <font>
      <b val="true"/>
      <sz val="10"/>
      <color rgb="FFA12B1E"/>
      <name val="Arial"/>
      <family val="0"/>
      <charset val="1"/>
    </font>
    <font>
      <b val="true"/>
      <sz val="11"/>
      <color rgb="FF0E3D4A"/>
      <name val="Arial"/>
      <family val="0"/>
      <charset val="1"/>
    </font>
    <font>
      <sz val="8"/>
      <color rgb="FF6B7A80"/>
      <name val="Arial"/>
      <family val="0"/>
      <charset val="1"/>
    </font>
    <font>
      <b val="true"/>
      <sz val="18"/>
      <color rgb="FF000000"/>
      <name val="Calibri"/>
      <family val="2"/>
    </font>
    <font>
      <sz val="10"/>
      <color rgb="FF000000"/>
      <name val="Calibri"/>
      <family val="2"/>
    </font>
    <font>
      <b val="true"/>
      <sz val="16"/>
      <color rgb="FFFFFFFF"/>
      <name val="Arial"/>
      <family val="0"/>
      <charset val="1"/>
    </font>
    <font>
      <sz val="10"/>
      <color rgb="FFCFE0E3"/>
      <name val="Arial"/>
      <family val="0"/>
      <charset val="1"/>
    </font>
    <font>
      <sz val="10"/>
      <color rgb="FF0000FF"/>
      <name val="Arial"/>
      <family val="0"/>
      <charset val="1"/>
    </font>
    <font>
      <sz val="10"/>
      <color rgb="FF6B7A80"/>
      <name val="Arial"/>
      <family val="0"/>
      <charset val="1"/>
    </font>
    <font>
      <b val="true"/>
      <sz val="10"/>
      <color rgb="FFFFFFFF"/>
      <name val="Arial"/>
      <family val="0"/>
      <charset val="1"/>
    </font>
    <font>
      <sz val="10"/>
      <name val="Arial"/>
      <family val="0"/>
      <charset val="1"/>
    </font>
  </fonts>
  <fills count="9">
    <fill>
      <patternFill patternType="none"/>
    </fill>
    <fill>
      <patternFill patternType="gray125"/>
    </fill>
    <fill>
      <patternFill patternType="solid">
        <fgColor rgb="FF0E3D4A"/>
        <bgColor rgb="FF333333"/>
      </patternFill>
    </fill>
    <fill>
      <patternFill patternType="solid">
        <fgColor rgb="FF86BC25"/>
        <bgColor rgb="FF808000"/>
      </patternFill>
    </fill>
    <fill>
      <patternFill patternType="solid">
        <fgColor rgb="FFF3F5F0"/>
        <bgColor rgb="FFFFFFFF"/>
      </patternFill>
    </fill>
    <fill>
      <patternFill patternType="solid">
        <fgColor rgb="FFFFFFFF"/>
        <bgColor rgb="FFF3F5F0"/>
      </patternFill>
    </fill>
    <fill>
      <patternFill patternType="solid">
        <fgColor rgb="FFFFF4C2"/>
        <bgColor rgb="FFFFFF99"/>
      </patternFill>
    </fill>
    <fill>
      <patternFill patternType="solid">
        <fgColor rgb="FFDFF0D0"/>
        <bgColor rgb="FFF3F5F0"/>
      </patternFill>
    </fill>
    <fill>
      <patternFill patternType="solid">
        <fgColor rgb="FFF8D7D2"/>
        <bgColor rgb="FFD9D9D9"/>
      </patternFill>
    </fill>
  </fills>
  <borders count="9">
    <border diagonalUp="false" diagonalDown="false">
      <left/>
      <right/>
      <top/>
      <bottom/>
      <diagonal/>
    </border>
    <border diagonalUp="false" diagonalDown="false">
      <left style="thin">
        <color rgb="FFD5DBD8"/>
      </left>
      <right/>
      <top style="thin">
        <color rgb="FFD5DBD8"/>
      </top>
      <bottom style="thin">
        <color rgb="FFD5DBD8"/>
      </bottom>
      <diagonal/>
    </border>
    <border diagonalUp="false" diagonalDown="false">
      <left/>
      <right style="thin">
        <color rgb="FFD5DBD8"/>
      </right>
      <top style="thin">
        <color rgb="FFD5DBD8"/>
      </top>
      <bottom/>
      <diagonal/>
    </border>
    <border diagonalUp="false" diagonalDown="false">
      <left/>
      <right style="thin">
        <color rgb="FFD5DBD8"/>
      </right>
      <top/>
      <bottom style="thin">
        <color rgb="FFD5DBD8"/>
      </bottom>
      <diagonal/>
    </border>
    <border diagonalUp="false" diagonalDown="false">
      <left style="thin">
        <color rgb="FFD5DBD8"/>
      </left>
      <right style="thin">
        <color rgb="FFD5DBD8"/>
      </right>
      <top style="medium">
        <color rgb="FF0E3D4A"/>
      </top>
      <bottom/>
      <diagonal/>
    </border>
    <border diagonalUp="false" diagonalDown="false">
      <left style="thin">
        <color rgb="FFD5DBD8"/>
      </left>
      <right style="thin">
        <color rgb="FFD5DBD8"/>
      </right>
      <top/>
      <bottom style="thin">
        <color rgb="FFD5DBD8"/>
      </bottom>
      <diagonal/>
    </border>
    <border diagonalUp="false" diagonalDown="false">
      <left style="thin">
        <color rgb="FFD5DBD8"/>
      </left>
      <right style="thin">
        <color rgb="FFD5DBD8"/>
      </right>
      <top style="thin">
        <color rgb="FFD5DBD8"/>
      </top>
      <bottom style="thin">
        <color rgb="FFD5DBD8"/>
      </bottom>
      <diagonal/>
    </border>
    <border diagonalUp="false" diagonalDown="false">
      <left style="thick">
        <color rgb="FFFFFFFF"/>
      </left>
      <right style="thick">
        <color rgb="FFFFFFFF"/>
      </right>
      <top/>
      <bottom/>
      <diagonal/>
    </border>
    <border diagonalUp="false" diagonalDown="false">
      <left/>
      <right/>
      <top/>
      <bottom style="hair">
        <color rgb="FFD5DB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1" shrinkToFit="false"/>
      <protection locked="true" hidden="false"/>
    </xf>
    <xf numFmtId="164" fontId="5" fillId="2" borderId="0" xfId="0" applyFont="true" applyBorder="true" applyAlignment="true" applyProtection="false">
      <alignment horizontal="left" vertical="center" textRotation="0" wrapText="tru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1"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left" vertical="bottom" textRotation="0" wrapText="true" indent="1" shrinkToFit="false"/>
      <protection locked="true" hidden="false"/>
    </xf>
    <xf numFmtId="164" fontId="9" fillId="4" borderId="3" xfId="0" applyFont="true" applyBorder="true" applyAlignment="true" applyProtection="false">
      <alignment horizontal="left" vertical="top" textRotation="0" wrapText="true" indent="1" shrinkToFit="false"/>
      <protection locked="true" hidden="false"/>
    </xf>
    <xf numFmtId="164" fontId="9" fillId="5" borderId="4" xfId="0" applyFont="true" applyBorder="true" applyAlignment="true" applyProtection="false">
      <alignment horizontal="center" vertical="center" textRotation="0" wrapText="true" indent="0" shrinkToFit="false"/>
      <protection locked="true" hidden="false"/>
    </xf>
    <xf numFmtId="165" fontId="10" fillId="5" borderId="5" xfId="0" applyFont="true" applyBorder="true" applyAlignment="true" applyProtection="false">
      <alignment horizontal="center" vertical="center" textRotation="0" wrapText="true" indent="0" shrinkToFit="false"/>
      <protection locked="true" hidden="false"/>
    </xf>
    <xf numFmtId="166" fontId="10" fillId="5" borderId="5" xfId="0" applyFont="true" applyBorder="true" applyAlignment="true" applyProtection="false">
      <alignment horizontal="center" vertical="center" textRotation="0" wrapText="true" indent="0" shrinkToFit="false"/>
      <protection locked="true" hidden="false"/>
    </xf>
    <xf numFmtId="164" fontId="11" fillId="5" borderId="5" xfId="0" applyFont="true" applyBorder="true" applyAlignment="true" applyProtection="false">
      <alignment horizontal="center" vertical="center" textRotation="0" wrapText="false" indent="0" shrinkToFit="false"/>
      <protection locked="true" hidden="false"/>
    </xf>
    <xf numFmtId="164" fontId="12" fillId="6" borderId="0" xfId="0" applyFont="true" applyBorder="true" applyAlignment="true" applyProtection="false">
      <alignment horizontal="center" vertical="center" textRotation="0" wrapText="true" indent="0" shrinkToFit="false"/>
      <protection locked="true" hidden="false"/>
    </xf>
    <xf numFmtId="164" fontId="13" fillId="5" borderId="6" xfId="0" applyFont="true" applyBorder="true" applyAlignment="true" applyProtection="false">
      <alignment horizontal="center" vertical="center" textRotation="0" wrapText="true" indent="0" shrinkToFit="false"/>
      <protection locked="true" hidden="false"/>
    </xf>
    <xf numFmtId="164" fontId="14" fillId="7" borderId="0" xfId="0" applyFont="true" applyBorder="true" applyAlignment="true" applyProtection="false">
      <alignment horizontal="center" vertical="center" textRotation="0" wrapText="true" indent="0" shrinkToFit="false"/>
      <protection locked="true" hidden="false"/>
    </xf>
    <xf numFmtId="164" fontId="15" fillId="8" borderId="0" xfId="0" applyFont="true" applyBorder="true" applyAlignment="true" applyProtection="false">
      <alignment horizontal="center" vertical="center" textRotation="0" wrapText="true" indent="0" shrinkToFit="false"/>
      <protection locked="true" hidden="false"/>
    </xf>
    <xf numFmtId="164" fontId="16" fillId="3" borderId="7"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true" applyAlignment="true" applyProtection="false">
      <alignment horizontal="left" vertical="center" textRotation="0" wrapText="true" indent="1" shrinkToFit="false"/>
      <protection locked="true" hidden="false"/>
    </xf>
    <xf numFmtId="164" fontId="20" fillId="2" borderId="0" xfId="0" applyFont="true" applyBorder="true" applyAlignment="true" applyProtection="false">
      <alignment horizontal="left" vertical="center" textRotation="0" wrapText="true" indent="1" shrinkToFit="false"/>
      <protection locked="true" hidden="false"/>
    </xf>
    <xf numFmtId="164" fontId="21" fillId="2" borderId="0" xfId="0" applyFont="true" applyBorder="true" applyAlignment="true" applyProtection="false">
      <alignment horizontal="left" vertical="center" textRotation="0" wrapText="true" indent="1" shrinkToFit="false"/>
      <protection locked="true" hidden="false"/>
    </xf>
    <xf numFmtId="164" fontId="6" fillId="0" borderId="0" xfId="0" applyFont="true" applyBorder="false" applyAlignment="true" applyProtection="false">
      <alignment horizontal="left" vertical="center" textRotation="0" wrapText="true" indent="1" shrinkToFit="false"/>
      <protection locked="true" hidden="false"/>
    </xf>
    <xf numFmtId="164" fontId="13" fillId="0" borderId="0" xfId="0" applyFont="true" applyBorder="false" applyAlignment="true" applyProtection="false">
      <alignment horizontal="left" vertical="center" textRotation="0" wrapText="true" indent="1" shrinkToFit="false"/>
      <protection locked="true" hidden="false"/>
    </xf>
    <xf numFmtId="167" fontId="22" fillId="6" borderId="8" xfId="0" applyFont="true" applyBorder="true" applyAlignment="true" applyProtection="false">
      <alignment horizontal="right" vertical="bottom" textRotation="0" wrapText="false" indent="0" shrinkToFit="false"/>
      <protection locked="true" hidden="false"/>
    </xf>
    <xf numFmtId="168" fontId="11" fillId="0" borderId="8" xfId="0" applyFont="true" applyBorder="true" applyAlignment="false" applyProtection="false">
      <alignment horizontal="general" vertical="bottom" textRotation="0" wrapText="false" indent="0" shrinkToFit="false"/>
      <protection locked="true" hidden="false"/>
    </xf>
    <xf numFmtId="169" fontId="22" fillId="6" borderId="8" xfId="0" applyFont="true" applyBorder="true" applyAlignment="true" applyProtection="false">
      <alignment horizontal="right" vertical="bottom" textRotation="0" wrapText="false" indent="0" shrinkToFit="false"/>
      <protection locked="true" hidden="false"/>
    </xf>
    <xf numFmtId="170" fontId="22" fillId="6" borderId="8" xfId="0" applyFont="true" applyBorder="true" applyAlignment="true" applyProtection="false">
      <alignment horizontal="right" vertical="bottom" textRotation="0" wrapText="false" indent="0" shrinkToFit="false"/>
      <protection locked="true" hidden="false"/>
    </xf>
    <xf numFmtId="171" fontId="11" fillId="0" borderId="8" xfId="0" applyFont="true" applyBorder="true" applyAlignment="false" applyProtection="false">
      <alignment horizontal="general" vertical="bottom" textRotation="0" wrapText="false" indent="0" shrinkToFit="false"/>
      <protection locked="true" hidden="false"/>
    </xf>
    <xf numFmtId="164" fontId="22" fillId="6" borderId="8" xfId="0" applyFont="true" applyBorder="true" applyAlignment="true" applyProtection="false">
      <alignment horizontal="right" vertical="bottom" textRotation="0" wrapText="false" indent="0"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4" fontId="23" fillId="0" borderId="0" xfId="0" applyFont="true" applyBorder="false" applyAlignment="true" applyProtection="false">
      <alignment horizontal="left" vertical="center" textRotation="0" wrapText="true" indent="1" shrinkToFit="false"/>
      <protection locked="true" hidden="false"/>
    </xf>
    <xf numFmtId="164" fontId="11" fillId="0" borderId="0" xfId="0" applyFont="true" applyBorder="false" applyAlignment="true" applyProtection="false">
      <alignment horizontal="center" vertical="center" textRotation="0" wrapText="false" indent="0" shrinkToFit="false"/>
      <protection locked="true" hidden="false"/>
    </xf>
    <xf numFmtId="164" fontId="24" fillId="2" borderId="0" xfId="0" applyFont="true" applyBorder="false" applyAlignment="true" applyProtection="false">
      <alignment horizontal="left" vertical="center" textRotation="0" wrapText="true" indent="1" shrinkToFit="false"/>
      <protection locked="true" hidden="false"/>
    </xf>
    <xf numFmtId="164" fontId="24" fillId="2" borderId="0" xfId="0" applyFont="true" applyBorder="false" applyAlignment="true" applyProtection="false">
      <alignment horizontal="center" vertical="center" textRotation="0" wrapText="true" indent="0" shrinkToFit="false"/>
      <protection locked="true" hidden="false"/>
    </xf>
    <xf numFmtId="164" fontId="13" fillId="0" borderId="0" xfId="0" applyFont="true" applyBorder="false" applyAlignment="true" applyProtection="false">
      <alignment horizontal="center" vertical="bottom" textRotation="0" wrapText="false" indent="0" shrinkToFit="false"/>
      <protection locked="true" hidden="false"/>
    </xf>
    <xf numFmtId="168" fontId="25" fillId="0" borderId="8" xfId="0" applyFont="true" applyBorder="true" applyAlignment="false" applyProtection="false">
      <alignment horizontal="general" vertical="bottom" textRotation="0" wrapText="false" indent="0" shrinkToFit="false"/>
      <protection locked="true" hidden="false"/>
    </xf>
    <xf numFmtId="164" fontId="13" fillId="0" borderId="8" xfId="0" applyFont="true" applyBorder="true" applyAlignment="true" applyProtection="false">
      <alignment horizontal="center" vertical="bottom" textRotation="0" wrapText="false" indent="0" shrinkToFit="false"/>
      <protection locked="true" hidden="false"/>
    </xf>
    <xf numFmtId="169" fontId="11" fillId="0" borderId="8" xfId="0" applyFont="true" applyBorder="true" applyAlignment="false" applyProtection="false">
      <alignment horizontal="general" vertical="bottom" textRotation="0" wrapText="false" indent="0" shrinkToFit="false"/>
      <protection locked="true" hidden="false"/>
    </xf>
    <xf numFmtId="164" fontId="11" fillId="0" borderId="8" xfId="0" applyFont="tru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6B12"/>
      </font>
      <fill>
        <patternFill>
          <bgColor rgb="FFDFF0D0"/>
        </patternFill>
      </fill>
    </dxf>
    <dxf>
      <font>
        <name val="Arial"/>
        <charset val="1"/>
        <family val="0"/>
        <b val="1"/>
        <color rgb="FFA12B1E"/>
      </font>
      <fill>
        <patternFill>
          <bgColor rgb="FFF8D7D2"/>
        </patternFill>
      </fill>
    </dxf>
  </dxfs>
  <colors>
    <indexedColors>
      <rgbColor rgb="FF000000"/>
      <rgbColor rgb="FFFFFFFF"/>
      <rgbColor rgb="FFFF0000"/>
      <rgbColor rgb="FF00FF00"/>
      <rgbColor rgb="FF0000FF"/>
      <rgbColor rgb="FFFFFF00"/>
      <rgbColor rgb="FFFF00FF"/>
      <rgbColor rgb="FF00FFFF"/>
      <rgbColor rgb="FF800000"/>
      <rgbColor rgb="FF2E6B12"/>
      <rgbColor rgb="FF000080"/>
      <rgbColor rgb="FF808000"/>
      <rgbColor rgb="FF800080"/>
      <rgbColor rgb="FF008080"/>
      <rgbColor rgb="FFD5DBD8"/>
      <rgbColor rgb="FF878787"/>
      <rgbColor rgb="FF9999FF"/>
      <rgbColor rgb="FF993366"/>
      <rgbColor rgb="FFFFF4C2"/>
      <rgbColor rgb="FFF3F5F0"/>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FE0E3"/>
      <rgbColor rgb="FFDFF0D0"/>
      <rgbColor rgb="FFFFFF99"/>
      <rgbColor rgb="FF99CCFF"/>
      <rgbColor rgb="FFFF99CC"/>
      <rgbColor rgb="FFCC99FF"/>
      <rgbColor rgb="FFF8D7D2"/>
      <rgbColor rgb="FF3366FF"/>
      <rgbColor rgb="FF33CCCC"/>
      <rgbColor rgb="FF86BC25"/>
      <rgbColor rgb="FFFFCC00"/>
      <rgbColor rgb="FFFF9900"/>
      <rgbColor rgb="FFFF6600"/>
      <rgbColor rgb="FF6B7A80"/>
      <rgbColor rgb="FF969696"/>
      <rgbColor rgb="FF0E3D4A"/>
      <rgbColor rgb="FF339966"/>
      <rgbColor rgb="FF003300"/>
      <rgbColor rgb="FF333300"/>
      <rgbColor rgb="FFA12B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Interest each year at the effective rate</a:t>
            </a:r>
          </a:p>
        </c:rich>
      </c:tx>
      <c:overlay val="0"/>
      <c:spPr>
        <a:noFill/>
        <a:ln w="0">
          <a:noFill/>
        </a:ln>
      </c:spPr>
    </c:title>
    <c:autoTitleDeleted val="0"/>
    <c:plotArea>
      <c:barChart>
        <c:barDir val="col"/>
        <c:grouping val="clustered"/>
        <c:varyColors val="0"/>
        <c:ser>
          <c:idx val="0"/>
          <c:order val="0"/>
          <c:spPr>
            <a:solidFill>
              <a:srgbClr val="0e3d4a"/>
            </a:solidFill>
            <a:ln w="0">
              <a:solidFill>
                <a:srgbClr val="0e3d4a"/>
              </a:solidFill>
            </a:ln>
          </c:spPr>
          <c:invertIfNegative val="0"/>
          <c:dLbls>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Schedule!$B$8:$B$17</c:f>
              <c:strCache>
                <c:ptCount val="10"/>
                <c:pt idx="0">
                  <c:v>1</c:v>
                </c:pt>
                <c:pt idx="1">
                  <c:v>2</c:v>
                </c:pt>
                <c:pt idx="2">
                  <c:v>3</c:v>
                </c:pt>
                <c:pt idx="3">
                  <c:v>4</c:v>
                </c:pt>
                <c:pt idx="4">
                  <c:v>5</c:v>
                </c:pt>
                <c:pt idx="5">
                  <c:v>6</c:v>
                </c:pt>
                <c:pt idx="6">
                  <c:v>7</c:v>
                </c:pt>
                <c:pt idx="7">
                  <c:v>8</c:v>
                </c:pt>
                <c:pt idx="8">
                  <c:v>9</c:v>
                </c:pt>
                <c:pt idx="9">
                  <c:v>10</c:v>
                </c:pt>
              </c:strCache>
            </c:strRef>
          </c:cat>
          <c:val>
            <c:numRef>
              <c:f>Schedule!$D$8:$D$17</c:f>
              <c:numCache>
                <c:formatCode>#,##0.00;\(#,##0.00\);;</c:formatCode>
                <c:ptCount val="10"/>
                <c:pt idx="0">
                  <c:v>55353.1707320341</c:v>
                </c:pt>
                <c:pt idx="1">
                  <c:v>55658.6500861454</c:v>
                </c:pt>
                <c:pt idx="2">
                  <c:v>55981.5616576209</c:v>
                </c:pt>
                <c:pt idx="3">
                  <c:v>56322.9002181142</c:v>
                </c:pt>
                <c:pt idx="4">
                  <c:v>56683.7173060471</c:v>
                </c:pt>
                <c:pt idx="5">
                  <c:v>0</c:v>
                </c:pt>
                <c:pt idx="6">
                  <c:v>0</c:v>
                </c:pt>
                <c:pt idx="7">
                  <c:v>0</c:v>
                </c:pt>
                <c:pt idx="8">
                  <c:v>0</c:v>
                </c:pt>
                <c:pt idx="9">
                  <c:v>0</c:v>
                </c:pt>
              </c:numCache>
            </c:numRef>
          </c:val>
        </c:ser>
        <c:gapWidth val="50"/>
        <c:overlap val="0"/>
        <c:axId val="52775283"/>
        <c:axId val="40631372"/>
      </c:barChart>
      <c:catAx>
        <c:axId val="5277528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0631372"/>
        <c:crosses val="autoZero"/>
        <c:auto val="1"/>
        <c:lblAlgn val="ctr"/>
        <c:lblOffset val="100"/>
        <c:noMultiLvlLbl val="0"/>
      </c:catAx>
      <c:valAx>
        <c:axId val="40631372"/>
        <c:scaling>
          <c:orientation val="minMax"/>
        </c:scaling>
        <c:delete val="1"/>
        <c:axPos val="l"/>
        <c:numFmt formatCode="#,##0.00;\(#,##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2775283"/>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23</xdr:row>
      <xdr:rowOff>0</xdr:rowOff>
    </xdr:from>
    <xdr:to>
      <xdr:col>12</xdr:col>
      <xdr:colOff>799560</xdr:colOff>
      <xdr:row>35</xdr:row>
      <xdr:rowOff>136440</xdr:rowOff>
    </xdr:to>
    <xdr:graphicFrame>
      <xdr:nvGraphicFramePr>
        <xdr:cNvPr id="0" name="Chart 1"/>
        <xdr:cNvGraphicFramePr/>
      </xdr:nvGraphicFramePr>
      <xdr:xfrm>
        <a:off x="176400" y="5676840"/>
        <a:ext cx="97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6BC25"/>
    <pageSetUpPr fitToPage="true"/>
  </sheetPr>
  <dimension ref="B1:M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13" min="2" style="0" width="11.5"/>
  </cols>
  <sheetData>
    <row r="1" customFormat="false" ht="18" hidden="false" customHeight="false" outlineLevel="0" collapsed="false"/>
    <row r="2" customFormat="false" ht="24" hidden="false" customHeight="true" outlineLevel="0" collapsed="false">
      <c r="B2" s="1" t="s">
        <v>0</v>
      </c>
      <c r="C2" s="1"/>
      <c r="D2" s="1"/>
      <c r="E2" s="1"/>
      <c r="F2" s="1"/>
      <c r="G2" s="1"/>
      <c r="H2" s="1"/>
      <c r="I2" s="1"/>
      <c r="J2" s="1"/>
      <c r="K2" s="1"/>
      <c r="L2" s="1"/>
      <c r="M2" s="1"/>
    </row>
    <row r="3" customFormat="false" ht="24" hidden="false" customHeight="true" outlineLevel="0" collapsed="false">
      <c r="B3" s="1"/>
      <c r="C3" s="1"/>
      <c r="D3" s="1"/>
      <c r="E3" s="1"/>
      <c r="F3" s="1"/>
      <c r="G3" s="1"/>
      <c r="H3" s="1"/>
      <c r="I3" s="1"/>
      <c r="J3" s="1"/>
      <c r="K3" s="1"/>
      <c r="L3" s="1"/>
      <c r="M3" s="1"/>
    </row>
    <row r="4" customFormat="false" ht="21.75" hidden="false" customHeight="true" outlineLevel="0" collapsed="false">
      <c r="B4" s="2" t="s">
        <v>1</v>
      </c>
      <c r="C4" s="2"/>
      <c r="D4" s="2"/>
      <c r="E4" s="2"/>
      <c r="F4" s="2"/>
      <c r="G4" s="2"/>
      <c r="H4" s="2"/>
      <c r="I4" s="2"/>
      <c r="J4" s="2"/>
      <c r="K4" s="2"/>
      <c r="L4" s="2"/>
      <c r="M4" s="2"/>
    </row>
    <row r="5" customFormat="false" ht="7.5" hidden="false" customHeight="true" outlineLevel="0" collapsed="false">
      <c r="B5" s="3"/>
      <c r="C5" s="3"/>
      <c r="D5" s="3"/>
      <c r="E5" s="3"/>
      <c r="F5" s="3"/>
      <c r="G5" s="3"/>
      <c r="H5" s="3"/>
      <c r="I5" s="3"/>
      <c r="J5" s="3"/>
      <c r="K5" s="3"/>
      <c r="L5" s="3"/>
      <c r="M5" s="3"/>
    </row>
    <row r="6" customFormat="false" ht="4.5" hidden="false" customHeight="true" outlineLevel="0" collapsed="false">
      <c r="B6" s="4"/>
      <c r="C6" s="4"/>
      <c r="D6" s="4"/>
      <c r="E6" s="4"/>
      <c r="F6" s="4"/>
      <c r="G6" s="4"/>
      <c r="H6" s="4"/>
      <c r="I6" s="4"/>
      <c r="J6" s="4"/>
      <c r="K6" s="4"/>
      <c r="L6" s="4"/>
      <c r="M6" s="4"/>
    </row>
    <row r="7" customFormat="false" ht="18" hidden="false" customHeight="false" outlineLevel="0" collapsed="false"/>
    <row r="8" customFormat="false" ht="18" hidden="false" customHeight="true" outlineLevel="0" collapsed="false">
      <c r="B8" s="5" t="s">
        <v>2</v>
      </c>
      <c r="C8" s="5"/>
      <c r="D8" s="5"/>
      <c r="E8" s="5"/>
      <c r="F8" s="5"/>
      <c r="G8" s="5"/>
      <c r="H8" s="5"/>
      <c r="I8" s="5"/>
      <c r="J8" s="5"/>
      <c r="K8" s="5"/>
      <c r="L8" s="5"/>
      <c r="M8" s="5"/>
    </row>
    <row r="9" customFormat="false" ht="24" hidden="false" customHeight="true" outlineLevel="0" collapsed="false">
      <c r="B9" s="6" t="n">
        <v>1</v>
      </c>
      <c r="C9" s="7" t="s">
        <v>3</v>
      </c>
      <c r="D9" s="7"/>
      <c r="E9" s="7"/>
      <c r="F9" s="6" t="n">
        <v>2</v>
      </c>
      <c r="G9" s="7" t="s">
        <v>4</v>
      </c>
      <c r="H9" s="7"/>
      <c r="I9" s="7"/>
      <c r="J9" s="6" t="n">
        <v>3</v>
      </c>
      <c r="K9" s="7" t="s">
        <v>5</v>
      </c>
      <c r="L9" s="7"/>
      <c r="M9" s="7"/>
    </row>
    <row r="10" customFormat="false" ht="24" hidden="false" customHeight="true" outlineLevel="0" collapsed="false">
      <c r="B10" s="6"/>
      <c r="C10" s="7"/>
      <c r="D10" s="7"/>
      <c r="E10" s="7"/>
      <c r="F10" s="6"/>
      <c r="G10" s="7"/>
      <c r="H10" s="7"/>
      <c r="I10" s="7"/>
      <c r="J10" s="6"/>
      <c r="K10" s="7"/>
      <c r="L10" s="7"/>
      <c r="M10" s="7"/>
    </row>
    <row r="11" customFormat="false" ht="24" hidden="false" customHeight="true" outlineLevel="0" collapsed="false">
      <c r="B11" s="6"/>
      <c r="C11" s="8" t="s">
        <v>6</v>
      </c>
      <c r="D11" s="8"/>
      <c r="E11" s="8"/>
      <c r="F11" s="6"/>
      <c r="G11" s="8" t="s">
        <v>7</v>
      </c>
      <c r="H11" s="8"/>
      <c r="I11" s="8"/>
      <c r="J11" s="6"/>
      <c r="K11" s="8" t="s">
        <v>8</v>
      </c>
      <c r="L11" s="8"/>
      <c r="M11" s="8"/>
    </row>
    <row r="12" customFormat="false" ht="18" hidden="false" customHeight="false" outlineLevel="0" collapsed="false"/>
    <row r="13" customFormat="false" ht="18" hidden="false" customHeight="true" outlineLevel="0" collapsed="false">
      <c r="B13" s="5" t="s">
        <v>9</v>
      </c>
      <c r="C13" s="5"/>
      <c r="D13" s="5"/>
      <c r="E13" s="5"/>
      <c r="F13" s="5"/>
      <c r="G13" s="5"/>
      <c r="H13" s="5"/>
      <c r="I13" s="5"/>
      <c r="J13" s="5"/>
      <c r="K13" s="5"/>
      <c r="L13" s="5"/>
      <c r="M13" s="5"/>
    </row>
    <row r="14" customFormat="false" ht="18" hidden="false" customHeight="true" outlineLevel="0" collapsed="false">
      <c r="B14" s="9" t="s">
        <v>10</v>
      </c>
      <c r="C14" s="9"/>
      <c r="D14" s="9"/>
      <c r="E14" s="9" t="s">
        <v>11</v>
      </c>
      <c r="F14" s="9"/>
      <c r="G14" s="9"/>
      <c r="H14" s="9" t="s">
        <v>12</v>
      </c>
      <c r="I14" s="9"/>
      <c r="J14" s="9"/>
      <c r="K14" s="9" t="s">
        <v>13</v>
      </c>
      <c r="L14" s="9"/>
      <c r="M14" s="9"/>
    </row>
    <row r="15" customFormat="false" ht="21.75" hidden="false" customHeight="true" outlineLevel="0" collapsed="false">
      <c r="B15" s="10" t="n">
        <f aca="false">Loan!F8</f>
        <v>970000</v>
      </c>
      <c r="C15" s="10"/>
      <c r="D15" s="10"/>
      <c r="E15" s="11" t="n">
        <f aca="false">Loan!F10</f>
        <v>0.0570651244660145</v>
      </c>
      <c r="F15" s="11"/>
      <c r="G15" s="11"/>
      <c r="H15" s="10" t="n">
        <f aca="false">Schedule!D8</f>
        <v>55353.1707320341</v>
      </c>
      <c r="I15" s="10"/>
      <c r="J15" s="10"/>
      <c r="K15" s="12" t="str">
        <f aca="false">IF(AND(LEFT(Loan!C17,1)="✓",LEFT(Loan!C18,1)="✓"),"✓ All agree","✗ Check inputs")</f>
        <v>✓ All agree</v>
      </c>
      <c r="L15" s="12"/>
      <c r="M15" s="12"/>
    </row>
    <row r="16" customFormat="false" ht="21.75" hidden="false" customHeight="true" outlineLevel="0" collapsed="false">
      <c r="B16" s="10"/>
      <c r="C16" s="10"/>
      <c r="D16" s="10"/>
      <c r="E16" s="11"/>
      <c r="F16" s="11"/>
      <c r="G16" s="11"/>
      <c r="H16" s="10"/>
      <c r="I16" s="10"/>
      <c r="J16" s="10"/>
      <c r="K16" s="12"/>
      <c r="L16" s="12"/>
      <c r="M16" s="12"/>
    </row>
    <row r="17" customFormat="false" ht="18" hidden="false" customHeight="false" outlineLevel="0" collapsed="false"/>
    <row r="18" customFormat="false" ht="18" hidden="false" customHeight="true" outlineLevel="0" collapsed="false">
      <c r="B18" s="5" t="s">
        <v>14</v>
      </c>
      <c r="C18" s="5"/>
      <c r="D18" s="5"/>
      <c r="E18" s="5"/>
      <c r="F18" s="5"/>
      <c r="G18" s="5"/>
      <c r="H18" s="5"/>
      <c r="I18" s="5"/>
      <c r="J18" s="5"/>
      <c r="K18" s="5"/>
      <c r="L18" s="5"/>
      <c r="M18" s="5"/>
    </row>
    <row r="19" customFormat="false" ht="24" hidden="false" customHeight="true" outlineLevel="0" collapsed="false">
      <c r="B19" s="13" t="s">
        <v>15</v>
      </c>
      <c r="C19" s="13"/>
      <c r="D19" s="13"/>
      <c r="E19" s="14" t="s">
        <v>16</v>
      </c>
      <c r="F19" s="14"/>
      <c r="G19" s="14"/>
      <c r="H19" s="15" t="s">
        <v>17</v>
      </c>
      <c r="I19" s="15"/>
      <c r="J19" s="15"/>
      <c r="K19" s="16" t="s">
        <v>18</v>
      </c>
      <c r="L19" s="16"/>
      <c r="M19" s="16"/>
    </row>
    <row r="20" customFormat="false" ht="18" hidden="false" customHeight="false" outlineLevel="0" collapsed="false"/>
    <row r="21" customFormat="false" ht="18" hidden="false" customHeight="true" outlineLevel="0" collapsed="false">
      <c r="B21" s="5" t="s">
        <v>19</v>
      </c>
      <c r="C21" s="5"/>
      <c r="D21" s="5"/>
      <c r="E21" s="5"/>
      <c r="F21" s="5"/>
      <c r="G21" s="5"/>
      <c r="H21" s="5"/>
      <c r="I21" s="5"/>
      <c r="J21" s="5"/>
      <c r="K21" s="5"/>
      <c r="L21" s="5"/>
      <c r="M21" s="5"/>
    </row>
    <row r="22" customFormat="false" ht="27.75" hidden="false" customHeight="true" outlineLevel="0" collapsed="false">
      <c r="B22" s="17" t="s">
        <v>20</v>
      </c>
      <c r="C22" s="17"/>
      <c r="D22" s="17"/>
      <c r="E22" s="17" t="s">
        <v>21</v>
      </c>
      <c r="F22" s="17"/>
      <c r="G22" s="17"/>
      <c r="H22" s="17" t="s">
        <v>22</v>
      </c>
      <c r="I22" s="17"/>
      <c r="J22" s="17"/>
    </row>
    <row r="23" customFormat="false" ht="18" hidden="false" customHeight="false" outlineLevel="0" collapsed="false"/>
    <row r="24" customFormat="false" ht="18" hidden="false" customHeight="false" outlineLevel="0" collapsed="false"/>
    <row r="25" customFormat="false" ht="18" hidden="false" customHeight="false" outlineLevel="0" collapsed="false"/>
    <row r="26" customFormat="false" ht="18" hidden="false" customHeight="false" outlineLevel="0" collapsed="false"/>
    <row r="27" customFormat="false" ht="18" hidden="false" customHeight="false" outlineLevel="0" collapsed="false"/>
    <row r="28" customFormat="false" ht="18" hidden="false" customHeight="false" outlineLevel="0" collapsed="false"/>
    <row r="29" customFormat="false" ht="18" hidden="false" customHeight="false" outlineLevel="0" collapsed="false"/>
    <row r="30" customFormat="false" ht="18" hidden="false" customHeight="false" outlineLevel="0" collapsed="false"/>
    <row r="31" customFormat="false" ht="18" hidden="false" customHeight="false" outlineLevel="0" collapsed="false"/>
    <row r="32" customFormat="false" ht="18" hidden="false" customHeight="false" outlineLevel="0" collapsed="false"/>
    <row r="33" customFormat="false" ht="18" hidden="false" customHeight="false" outlineLevel="0" collapsed="false"/>
    <row r="34" customFormat="false" ht="18" hidden="false" customHeight="false" outlineLevel="0" collapsed="false"/>
    <row r="35" customFormat="false" ht="18" hidden="false" customHeight="false" outlineLevel="0" collapsed="false"/>
    <row r="36" customFormat="false" ht="18" hidden="false" customHeight="false" outlineLevel="0" collapsed="false"/>
    <row r="37" customFormat="false" ht="18" hidden="false" customHeight="false" outlineLevel="0" collapsed="false"/>
    <row r="38" customFormat="false" ht="18" hidden="false" customHeight="false" outlineLevel="0" collapsed="false"/>
    <row r="39" customFormat="false" ht="18" hidden="false" customHeight="false" outlineLevel="0" collapsed="false"/>
    <row r="40" customFormat="false" ht="18" hidden="false" customHeight="false" outlineLevel="0" collapsed="false"/>
    <row r="41" customFormat="false" ht="18" hidden="false" customHeight="true" outlineLevel="0" collapsed="false">
      <c r="B41" s="18" t="s">
        <v>23</v>
      </c>
      <c r="C41" s="18"/>
      <c r="D41" s="18"/>
      <c r="E41" s="18"/>
      <c r="F41" s="18"/>
      <c r="G41" s="18"/>
      <c r="H41" s="18"/>
      <c r="I41" s="18"/>
      <c r="J41" s="18"/>
      <c r="K41" s="18"/>
      <c r="L41" s="18"/>
      <c r="M41" s="18"/>
    </row>
  </sheetData>
  <mergeCells count="31">
    <mergeCell ref="B2:M3"/>
    <mergeCell ref="B4:M4"/>
    <mergeCell ref="B8:M8"/>
    <mergeCell ref="B9:B11"/>
    <mergeCell ref="C9:E10"/>
    <mergeCell ref="F9:F11"/>
    <mergeCell ref="G9:I10"/>
    <mergeCell ref="J9:J11"/>
    <mergeCell ref="K9:M10"/>
    <mergeCell ref="C11:E11"/>
    <mergeCell ref="G11:I11"/>
    <mergeCell ref="K11:M11"/>
    <mergeCell ref="B13:M13"/>
    <mergeCell ref="B14:D14"/>
    <mergeCell ref="E14:G14"/>
    <mergeCell ref="H14:J14"/>
    <mergeCell ref="K14:M14"/>
    <mergeCell ref="B15:D16"/>
    <mergeCell ref="E15:G16"/>
    <mergeCell ref="H15:J16"/>
    <mergeCell ref="K15:M16"/>
    <mergeCell ref="B18:M18"/>
    <mergeCell ref="B19:D19"/>
    <mergeCell ref="E19:G19"/>
    <mergeCell ref="H19:J19"/>
    <mergeCell ref="K19:M19"/>
    <mergeCell ref="B21:M21"/>
    <mergeCell ref="B22:D22"/>
    <mergeCell ref="E22:G22"/>
    <mergeCell ref="H22:J22"/>
    <mergeCell ref="B41:M41"/>
  </mergeCells>
  <conditionalFormatting sqref="K15">
    <cfRule type="expression" priority="2" aboveAverage="0" equalAverage="0" bottom="0" percent="0" rank="0" text="" dxfId="0">
      <formula>LEFT(K15,1)="✓"</formula>
    </cfRule>
    <cfRule type="expression" priority="3" aboveAverage="0" equalAverage="0" bottom="0" percent="0" rank="0" text="" dxfId="1">
      <formula>LEFT(K15,1)&lt;&gt;"✓"</formula>
    </cfRule>
  </conditionalFormatting>
  <hyperlinks>
    <hyperlink ref="B22" location="'Loan'!B2" display="Loan  ›"/>
    <hyperlink ref="E22" location="'Schedule'!B2" display="Schedule  ›"/>
    <hyperlink ref="H22" location="'Modification'!B2" display="Modification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F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46"/>
    <col collapsed="false" customWidth="true" hidden="false" outlineLevel="0" max="3" min="3" style="0" width="18"/>
    <col collapsed="false" customWidth="true" hidden="false" outlineLevel="0" max="4" min="4" style="0" width="4"/>
    <col collapsed="false" customWidth="true" hidden="false" outlineLevel="0" max="5" min="5" style="0" width="46"/>
    <col collapsed="false" customWidth="true" hidden="false" outlineLevel="0" max="6" min="6" style="0" width="18"/>
  </cols>
  <sheetData>
    <row r="1" customFormat="false" ht="18" hidden="false" customHeight="false" outlineLevel="0" collapsed="false"/>
    <row r="2" customFormat="false" ht="19.5" hidden="false" customHeight="true" outlineLevel="0" collapsed="false">
      <c r="B2" s="19" t="s">
        <v>24</v>
      </c>
      <c r="C2" s="19"/>
      <c r="D2" s="19"/>
      <c r="E2" s="19"/>
      <c r="F2" s="19"/>
    </row>
    <row r="3" customFormat="false" ht="19.5" hidden="false" customHeight="true" outlineLevel="0" collapsed="false">
      <c r="B3" s="19"/>
      <c r="C3" s="19"/>
      <c r="D3" s="19"/>
      <c r="E3" s="19"/>
      <c r="F3" s="19"/>
    </row>
    <row r="4" customFormat="false" ht="19.5" hidden="false" customHeight="true" outlineLevel="0" collapsed="false">
      <c r="B4" s="20" t="s">
        <v>25</v>
      </c>
      <c r="C4" s="20"/>
      <c r="D4" s="20"/>
      <c r="E4" s="20"/>
      <c r="F4" s="20"/>
    </row>
    <row r="5" customFormat="false" ht="3.75" hidden="false" customHeight="true" outlineLevel="0" collapsed="false">
      <c r="B5" s="4"/>
      <c r="C5" s="4"/>
      <c r="D5" s="4"/>
      <c r="E5" s="4"/>
      <c r="F5" s="4"/>
    </row>
    <row r="6" customFormat="false" ht="18" hidden="false" customHeight="false" outlineLevel="0" collapsed="false"/>
    <row r="7" customFormat="false" ht="18" hidden="false" customHeight="false" outlineLevel="0" collapsed="false">
      <c r="B7" s="21" t="s">
        <v>26</v>
      </c>
      <c r="E7" s="21" t="s">
        <v>27</v>
      </c>
    </row>
    <row r="8" customFormat="false" ht="18" hidden="false" customHeight="false" outlineLevel="0" collapsed="false">
      <c r="B8" s="22" t="s">
        <v>28</v>
      </c>
      <c r="C8" s="23" t="n">
        <v>1000000</v>
      </c>
      <c r="E8" s="22" t="s">
        <v>10</v>
      </c>
      <c r="F8" s="24" t="n">
        <f aca="false">C8-C11+C12</f>
        <v>970000</v>
      </c>
    </row>
    <row r="9" customFormat="false" ht="18" hidden="false" customHeight="false" outlineLevel="0" collapsed="false">
      <c r="B9" s="22" t="s">
        <v>29</v>
      </c>
      <c r="C9" s="25" t="n">
        <v>0.05</v>
      </c>
      <c r="E9" s="22" t="s">
        <v>30</v>
      </c>
      <c r="F9" s="24" t="n">
        <f aca="false">C8*C9</f>
        <v>50000</v>
      </c>
    </row>
    <row r="10" customFormat="false" ht="18" hidden="false" customHeight="false" outlineLevel="0" collapsed="false">
      <c r="B10" s="22" t="s">
        <v>31</v>
      </c>
      <c r="C10" s="26" t="n">
        <v>5</v>
      </c>
      <c r="E10" s="22" t="s">
        <v>11</v>
      </c>
      <c r="F10" s="27" t="n">
        <f aca="false">IRR(Schedule!H7:H27,C9)</f>
        <v>0.0570651244660145</v>
      </c>
    </row>
    <row r="11" customFormat="false" ht="18" hidden="false" customHeight="false" outlineLevel="0" collapsed="false">
      <c r="B11" s="22" t="s">
        <v>32</v>
      </c>
      <c r="C11" s="23" t="n">
        <v>30000</v>
      </c>
      <c r="E11" s="22" t="s">
        <v>33</v>
      </c>
      <c r="F11" s="24" t="n">
        <f aca="false">SUM(Schedule!D8:D27)</f>
        <v>279999.999999962</v>
      </c>
    </row>
    <row r="12" customFormat="false" ht="18" hidden="false" customHeight="false" outlineLevel="0" collapsed="false">
      <c r="B12" s="22" t="s">
        <v>34</v>
      </c>
      <c r="C12" s="23" t="n">
        <v>0</v>
      </c>
      <c r="E12" s="22" t="s">
        <v>35</v>
      </c>
      <c r="F12" s="24" t="n">
        <f aca="false">SUM(Schedule!E8:E27)</f>
        <v>250000</v>
      </c>
    </row>
    <row r="13" customFormat="false" ht="18" hidden="false" customHeight="false" outlineLevel="0" collapsed="false">
      <c r="B13" s="22" t="s">
        <v>36</v>
      </c>
      <c r="C13" s="28" t="s">
        <v>37</v>
      </c>
      <c r="E13" s="22" t="s">
        <v>38</v>
      </c>
      <c r="F13" s="24" t="n">
        <f aca="false">F11-F12</f>
        <v>29999.9999999617</v>
      </c>
    </row>
    <row r="14" customFormat="false" ht="18" hidden="false" customHeight="false" outlineLevel="0" collapsed="false"/>
    <row r="15" customFormat="false" ht="18" hidden="false" customHeight="false" outlineLevel="0" collapsed="false"/>
    <row r="16" customFormat="false" ht="18" hidden="false" customHeight="true" outlineLevel="0" collapsed="false">
      <c r="B16" s="21" t="s">
        <v>39</v>
      </c>
      <c r="E16" s="29" t="s">
        <v>40</v>
      </c>
      <c r="F16" s="29"/>
    </row>
    <row r="17" customFormat="false" ht="18" hidden="false" customHeight="false" outlineLevel="0" collapsed="false">
      <c r="B17" s="30" t="s">
        <v>41</v>
      </c>
      <c r="C17" s="31" t="str">
        <f aca="false">IF(AND(C10&gt;=1,C10&lt;=20,C10=INT(C10)),"✓ OK","✗ Use 1 to 20 whole years")</f>
        <v>✓ OK</v>
      </c>
      <c r="E17" s="29"/>
      <c r="F17" s="29"/>
    </row>
    <row r="18" customFormat="false" ht="18" hidden="false" customHeight="false" outlineLevel="0" collapsed="false">
      <c r="B18" s="30" t="s">
        <v>42</v>
      </c>
      <c r="C18" s="31" t="str">
        <f aca="false">IF(ABS(INDEX(Schedule!G8:G27,C10))&lt;0.5,"✓ Repaid","✗ Check inputs")</f>
        <v>✓ Repaid</v>
      </c>
      <c r="E18" s="29"/>
      <c r="F18" s="29"/>
    </row>
    <row r="19" customFormat="false" ht="18" hidden="false" customHeight="false" outlineLevel="0" collapsed="false">
      <c r="E19" s="29"/>
      <c r="F19" s="29"/>
    </row>
  </sheetData>
  <mergeCells count="3">
    <mergeCell ref="B2:F3"/>
    <mergeCell ref="B4:F4"/>
    <mergeCell ref="E16:F19"/>
  </mergeCells>
  <conditionalFormatting sqref="C17">
    <cfRule type="expression" priority="2" aboveAverage="0" equalAverage="0" bottom="0" percent="0" rank="0" text="" dxfId="0">
      <formula>LEFT(C17,1)="✓"</formula>
    </cfRule>
    <cfRule type="expression" priority="3" aboveAverage="0" equalAverage="0" bottom="0" percent="0" rank="0" text="" dxfId="1">
      <formula>LEFT(C17,1)&lt;&gt;"✓"</formula>
    </cfRule>
  </conditionalFormatting>
  <conditionalFormatting sqref="C18">
    <cfRule type="expression" priority="4" aboveAverage="0" equalAverage="0" bottom="0" percent="0" rank="0" text="" dxfId="0">
      <formula>LEFT(C18,1)="✓"</formula>
    </cfRule>
    <cfRule type="expression" priority="5" aboveAverage="0" equalAverage="0" bottom="0" percent="0" rank="0" text="" dxfId="1">
      <formula>LEFT(C18,1)&lt;&gt;"✓"</formula>
    </cfRule>
  </conditionalFormatting>
  <dataValidations count="1">
    <dataValidation allowBlank="false" errorStyle="stop" operator="between" showDropDown="false" showErrorMessage="false" showInputMessage="false" sqref="C13" type="list">
      <formula1>"Borrower (liability),Lender (asset)"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H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8"/>
    <col collapsed="false" customWidth="true" hidden="false" outlineLevel="0" max="8" min="3" style="0" width="16"/>
  </cols>
  <sheetData>
    <row r="1" customFormat="false" ht="18" hidden="false" customHeight="false" outlineLevel="0" collapsed="false"/>
    <row r="2" customFormat="false" ht="19.5" hidden="false" customHeight="true" outlineLevel="0" collapsed="false">
      <c r="B2" s="19" t="s">
        <v>43</v>
      </c>
      <c r="C2" s="19"/>
      <c r="D2" s="19"/>
      <c r="E2" s="19"/>
      <c r="F2" s="19"/>
      <c r="G2" s="19"/>
      <c r="H2" s="19"/>
    </row>
    <row r="3" customFormat="false" ht="19.5" hidden="false" customHeight="true" outlineLevel="0" collapsed="false">
      <c r="B3" s="19"/>
      <c r="C3" s="19"/>
      <c r="D3" s="19"/>
      <c r="E3" s="19"/>
      <c r="F3" s="19"/>
      <c r="G3" s="19"/>
      <c r="H3" s="19"/>
    </row>
    <row r="4" customFormat="false" ht="19.5" hidden="false" customHeight="true" outlineLevel="0" collapsed="false">
      <c r="B4" s="20" t="s">
        <v>44</v>
      </c>
      <c r="C4" s="20"/>
      <c r="D4" s="20"/>
      <c r="E4" s="20"/>
      <c r="F4" s="20"/>
      <c r="G4" s="20"/>
      <c r="H4" s="20"/>
    </row>
    <row r="5" customFormat="false" ht="3.75" hidden="false" customHeight="true" outlineLevel="0" collapsed="false">
      <c r="B5" s="4"/>
      <c r="C5" s="4"/>
      <c r="D5" s="4"/>
      <c r="E5" s="4"/>
      <c r="F5" s="4"/>
      <c r="G5" s="4"/>
      <c r="H5" s="4"/>
    </row>
    <row r="6" customFormat="false" ht="33.75" hidden="false" customHeight="true" outlineLevel="0" collapsed="false">
      <c r="B6" s="32" t="s">
        <v>45</v>
      </c>
      <c r="C6" s="33" t="s">
        <v>46</v>
      </c>
      <c r="D6" s="33" t="s">
        <v>47</v>
      </c>
      <c r="E6" s="33" t="s">
        <v>48</v>
      </c>
      <c r="F6" s="33" t="s">
        <v>49</v>
      </c>
      <c r="G6" s="33" t="s">
        <v>50</v>
      </c>
      <c r="H6" s="33" t="s">
        <v>51</v>
      </c>
    </row>
    <row r="7" customFormat="false" ht="18" hidden="false" customHeight="false" outlineLevel="0" collapsed="false">
      <c r="B7" s="34" t="n">
        <v>0</v>
      </c>
      <c r="H7" s="35" t="n">
        <f aca="false">-Loan!F8</f>
        <v>-970000</v>
      </c>
    </row>
    <row r="8" customFormat="false" ht="18" hidden="false" customHeight="false" outlineLevel="0" collapsed="false">
      <c r="B8" s="36" t="n">
        <v>1</v>
      </c>
      <c r="C8" s="35" t="n">
        <f aca="false">IF(1&lt;=Loan!$C$10,Loan!$F$8,0)</f>
        <v>970000</v>
      </c>
      <c r="D8" s="35" t="n">
        <f aca="false">C8*Loan!$F$10</f>
        <v>55353.1707320341</v>
      </c>
      <c r="E8" s="35" t="n">
        <f aca="false">IF(1&lt;=Loan!$C$10,Loan!$F$9,0)</f>
        <v>50000</v>
      </c>
      <c r="F8" s="35" t="n">
        <f aca="false">IF(1=Loan!$C$10,Loan!$C$8,0)</f>
        <v>0</v>
      </c>
      <c r="G8" s="24" t="n">
        <f aca="false">C8+D8-E8-F8</f>
        <v>975353.170732034</v>
      </c>
      <c r="H8" s="35" t="n">
        <f aca="false">E8+F8</f>
        <v>50000</v>
      </c>
    </row>
    <row r="9" customFormat="false" ht="18" hidden="false" customHeight="false" outlineLevel="0" collapsed="false">
      <c r="B9" s="36" t="n">
        <v>2</v>
      </c>
      <c r="C9" s="35" t="n">
        <f aca="false">IF(2&lt;=Loan!$C$10,G8,0)</f>
        <v>975353.170732034</v>
      </c>
      <c r="D9" s="35" t="n">
        <f aca="false">C9*Loan!$F$10</f>
        <v>55658.6500861454</v>
      </c>
      <c r="E9" s="35" t="n">
        <f aca="false">IF(2&lt;=Loan!$C$10,Loan!$F$9,0)</f>
        <v>50000</v>
      </c>
      <c r="F9" s="35" t="n">
        <f aca="false">IF(2=Loan!$C$10,Loan!$C$8,0)</f>
        <v>0</v>
      </c>
      <c r="G9" s="24" t="n">
        <f aca="false">C9+D9-E9-F9</f>
        <v>981011.820818179</v>
      </c>
      <c r="H9" s="35" t="n">
        <f aca="false">E9+F9</f>
        <v>50000</v>
      </c>
    </row>
    <row r="10" customFormat="false" ht="18" hidden="false" customHeight="false" outlineLevel="0" collapsed="false">
      <c r="B10" s="36" t="n">
        <v>3</v>
      </c>
      <c r="C10" s="35" t="n">
        <f aca="false">IF(3&lt;=Loan!$C$10,G9,0)</f>
        <v>981011.820818179</v>
      </c>
      <c r="D10" s="35" t="n">
        <f aca="false">C10*Loan!$F$10</f>
        <v>55981.5616576209</v>
      </c>
      <c r="E10" s="35" t="n">
        <f aca="false">IF(3&lt;=Loan!$C$10,Loan!$F$9,0)</f>
        <v>50000</v>
      </c>
      <c r="F10" s="35" t="n">
        <f aca="false">IF(3=Loan!$C$10,Loan!$C$8,0)</f>
        <v>0</v>
      </c>
      <c r="G10" s="24" t="n">
        <f aca="false">C10+D10-E10-F10</f>
        <v>986993.3824758</v>
      </c>
      <c r="H10" s="35" t="n">
        <f aca="false">E10+F10</f>
        <v>50000</v>
      </c>
    </row>
    <row r="11" customFormat="false" ht="18" hidden="false" customHeight="false" outlineLevel="0" collapsed="false">
      <c r="B11" s="36" t="n">
        <v>4</v>
      </c>
      <c r="C11" s="35" t="n">
        <f aca="false">IF(4&lt;=Loan!$C$10,G10,0)</f>
        <v>986993.3824758</v>
      </c>
      <c r="D11" s="35" t="n">
        <f aca="false">C11*Loan!$F$10</f>
        <v>56322.9002181142</v>
      </c>
      <c r="E11" s="35" t="n">
        <f aca="false">IF(4&lt;=Loan!$C$10,Loan!$F$9,0)</f>
        <v>50000</v>
      </c>
      <c r="F11" s="35" t="n">
        <f aca="false">IF(4=Loan!$C$10,Loan!$C$8,0)</f>
        <v>0</v>
      </c>
      <c r="G11" s="24" t="n">
        <f aca="false">C11+D11-E11-F11</f>
        <v>993316.282693915</v>
      </c>
      <c r="H11" s="35" t="n">
        <f aca="false">E11+F11</f>
        <v>50000</v>
      </c>
    </row>
    <row r="12" customFormat="false" ht="18" hidden="false" customHeight="false" outlineLevel="0" collapsed="false">
      <c r="B12" s="36" t="n">
        <v>5</v>
      </c>
      <c r="C12" s="35" t="n">
        <f aca="false">IF(5&lt;=Loan!$C$10,G11,0)</f>
        <v>993316.282693915</v>
      </c>
      <c r="D12" s="35" t="n">
        <f aca="false">C12*Loan!$F$10</f>
        <v>56683.7173060471</v>
      </c>
      <c r="E12" s="35" t="n">
        <f aca="false">IF(5&lt;=Loan!$C$10,Loan!$F$9,0)</f>
        <v>50000</v>
      </c>
      <c r="F12" s="35" t="n">
        <f aca="false">IF(5=Loan!$C$10,Loan!$C$8,0)</f>
        <v>1000000</v>
      </c>
      <c r="G12" s="24" t="n">
        <f aca="false">C12+D12-E12-F12</f>
        <v>-3.84170562028885E-008</v>
      </c>
      <c r="H12" s="35" t="n">
        <f aca="false">E12+F12</f>
        <v>1050000</v>
      </c>
    </row>
    <row r="13" customFormat="false" ht="18" hidden="false" customHeight="false" outlineLevel="0" collapsed="false">
      <c r="B13" s="36" t="n">
        <v>6</v>
      </c>
      <c r="C13" s="35" t="n">
        <f aca="false">IF(6&lt;=Loan!$C$10,G12,0)</f>
        <v>0</v>
      </c>
      <c r="D13" s="35" t="n">
        <f aca="false">C13*Loan!$F$10</f>
        <v>0</v>
      </c>
      <c r="E13" s="35" t="n">
        <f aca="false">IF(6&lt;=Loan!$C$10,Loan!$F$9,0)</f>
        <v>0</v>
      </c>
      <c r="F13" s="35" t="n">
        <f aca="false">IF(6=Loan!$C$10,Loan!$C$8,0)</f>
        <v>0</v>
      </c>
      <c r="G13" s="24" t="n">
        <f aca="false">C13+D13-E13-F13</f>
        <v>0</v>
      </c>
      <c r="H13" s="35" t="n">
        <f aca="false">E13+F13</f>
        <v>0</v>
      </c>
    </row>
    <row r="14" customFormat="false" ht="18" hidden="false" customHeight="false" outlineLevel="0" collapsed="false">
      <c r="B14" s="36" t="n">
        <v>7</v>
      </c>
      <c r="C14" s="35" t="n">
        <f aca="false">IF(7&lt;=Loan!$C$10,G13,0)</f>
        <v>0</v>
      </c>
      <c r="D14" s="35" t="n">
        <f aca="false">C14*Loan!$F$10</f>
        <v>0</v>
      </c>
      <c r="E14" s="35" t="n">
        <f aca="false">IF(7&lt;=Loan!$C$10,Loan!$F$9,0)</f>
        <v>0</v>
      </c>
      <c r="F14" s="35" t="n">
        <f aca="false">IF(7=Loan!$C$10,Loan!$C$8,0)</f>
        <v>0</v>
      </c>
      <c r="G14" s="24" t="n">
        <f aca="false">C14+D14-E14-F14</f>
        <v>0</v>
      </c>
      <c r="H14" s="35" t="n">
        <f aca="false">E14+F14</f>
        <v>0</v>
      </c>
    </row>
    <row r="15" customFormat="false" ht="18" hidden="false" customHeight="false" outlineLevel="0" collapsed="false">
      <c r="B15" s="36" t="n">
        <v>8</v>
      </c>
      <c r="C15" s="35" t="n">
        <f aca="false">IF(8&lt;=Loan!$C$10,G14,0)</f>
        <v>0</v>
      </c>
      <c r="D15" s="35" t="n">
        <f aca="false">C15*Loan!$F$10</f>
        <v>0</v>
      </c>
      <c r="E15" s="35" t="n">
        <f aca="false">IF(8&lt;=Loan!$C$10,Loan!$F$9,0)</f>
        <v>0</v>
      </c>
      <c r="F15" s="35" t="n">
        <f aca="false">IF(8=Loan!$C$10,Loan!$C$8,0)</f>
        <v>0</v>
      </c>
      <c r="G15" s="24" t="n">
        <f aca="false">C15+D15-E15-F15</f>
        <v>0</v>
      </c>
      <c r="H15" s="35" t="n">
        <f aca="false">E15+F15</f>
        <v>0</v>
      </c>
    </row>
    <row r="16" customFormat="false" ht="18" hidden="false" customHeight="false" outlineLevel="0" collapsed="false">
      <c r="B16" s="36" t="n">
        <v>9</v>
      </c>
      <c r="C16" s="35" t="n">
        <f aca="false">IF(9&lt;=Loan!$C$10,G15,0)</f>
        <v>0</v>
      </c>
      <c r="D16" s="35" t="n">
        <f aca="false">C16*Loan!$F$10</f>
        <v>0</v>
      </c>
      <c r="E16" s="35" t="n">
        <f aca="false">IF(9&lt;=Loan!$C$10,Loan!$F$9,0)</f>
        <v>0</v>
      </c>
      <c r="F16" s="35" t="n">
        <f aca="false">IF(9=Loan!$C$10,Loan!$C$8,0)</f>
        <v>0</v>
      </c>
      <c r="G16" s="24" t="n">
        <f aca="false">C16+D16-E16-F16</f>
        <v>0</v>
      </c>
      <c r="H16" s="35" t="n">
        <f aca="false">E16+F16</f>
        <v>0</v>
      </c>
    </row>
    <row r="17" customFormat="false" ht="18" hidden="false" customHeight="false" outlineLevel="0" collapsed="false">
      <c r="B17" s="36" t="n">
        <v>10</v>
      </c>
      <c r="C17" s="35" t="n">
        <f aca="false">IF(10&lt;=Loan!$C$10,G16,0)</f>
        <v>0</v>
      </c>
      <c r="D17" s="35" t="n">
        <f aca="false">C17*Loan!$F$10</f>
        <v>0</v>
      </c>
      <c r="E17" s="35" t="n">
        <f aca="false">IF(10&lt;=Loan!$C$10,Loan!$F$9,0)</f>
        <v>0</v>
      </c>
      <c r="F17" s="35" t="n">
        <f aca="false">IF(10=Loan!$C$10,Loan!$C$8,0)</f>
        <v>0</v>
      </c>
      <c r="G17" s="24" t="n">
        <f aca="false">C17+D17-E17-F17</f>
        <v>0</v>
      </c>
      <c r="H17" s="35" t="n">
        <f aca="false">E17+F17</f>
        <v>0</v>
      </c>
    </row>
    <row r="18" customFormat="false" ht="18" hidden="false" customHeight="false" outlineLevel="0" collapsed="false">
      <c r="B18" s="36" t="n">
        <v>11</v>
      </c>
      <c r="C18" s="35" t="n">
        <f aca="false">IF(11&lt;=Loan!$C$10,G17,0)</f>
        <v>0</v>
      </c>
      <c r="D18" s="35" t="n">
        <f aca="false">C18*Loan!$F$10</f>
        <v>0</v>
      </c>
      <c r="E18" s="35" t="n">
        <f aca="false">IF(11&lt;=Loan!$C$10,Loan!$F$9,0)</f>
        <v>0</v>
      </c>
      <c r="F18" s="35" t="n">
        <f aca="false">IF(11=Loan!$C$10,Loan!$C$8,0)</f>
        <v>0</v>
      </c>
      <c r="G18" s="24" t="n">
        <f aca="false">C18+D18-E18-F18</f>
        <v>0</v>
      </c>
      <c r="H18" s="35" t="n">
        <f aca="false">E18+F18</f>
        <v>0</v>
      </c>
    </row>
    <row r="19" customFormat="false" ht="18" hidden="false" customHeight="false" outlineLevel="0" collapsed="false">
      <c r="B19" s="36" t="n">
        <v>12</v>
      </c>
      <c r="C19" s="35" t="n">
        <f aca="false">IF(12&lt;=Loan!$C$10,G18,0)</f>
        <v>0</v>
      </c>
      <c r="D19" s="35" t="n">
        <f aca="false">C19*Loan!$F$10</f>
        <v>0</v>
      </c>
      <c r="E19" s="35" t="n">
        <f aca="false">IF(12&lt;=Loan!$C$10,Loan!$F$9,0)</f>
        <v>0</v>
      </c>
      <c r="F19" s="35" t="n">
        <f aca="false">IF(12=Loan!$C$10,Loan!$C$8,0)</f>
        <v>0</v>
      </c>
      <c r="G19" s="24" t="n">
        <f aca="false">C19+D19-E19-F19</f>
        <v>0</v>
      </c>
      <c r="H19" s="35" t="n">
        <f aca="false">E19+F19</f>
        <v>0</v>
      </c>
    </row>
    <row r="20" customFormat="false" ht="18" hidden="false" customHeight="false" outlineLevel="0" collapsed="false">
      <c r="B20" s="36" t="n">
        <v>13</v>
      </c>
      <c r="C20" s="35" t="n">
        <f aca="false">IF(13&lt;=Loan!$C$10,G19,0)</f>
        <v>0</v>
      </c>
      <c r="D20" s="35" t="n">
        <f aca="false">C20*Loan!$F$10</f>
        <v>0</v>
      </c>
      <c r="E20" s="35" t="n">
        <f aca="false">IF(13&lt;=Loan!$C$10,Loan!$F$9,0)</f>
        <v>0</v>
      </c>
      <c r="F20" s="35" t="n">
        <f aca="false">IF(13=Loan!$C$10,Loan!$C$8,0)</f>
        <v>0</v>
      </c>
      <c r="G20" s="24" t="n">
        <f aca="false">C20+D20-E20-F20</f>
        <v>0</v>
      </c>
      <c r="H20" s="35" t="n">
        <f aca="false">E20+F20</f>
        <v>0</v>
      </c>
    </row>
    <row r="21" customFormat="false" ht="18" hidden="false" customHeight="false" outlineLevel="0" collapsed="false">
      <c r="B21" s="36" t="n">
        <v>14</v>
      </c>
      <c r="C21" s="35" t="n">
        <f aca="false">IF(14&lt;=Loan!$C$10,G20,0)</f>
        <v>0</v>
      </c>
      <c r="D21" s="35" t="n">
        <f aca="false">C21*Loan!$F$10</f>
        <v>0</v>
      </c>
      <c r="E21" s="35" t="n">
        <f aca="false">IF(14&lt;=Loan!$C$10,Loan!$F$9,0)</f>
        <v>0</v>
      </c>
      <c r="F21" s="35" t="n">
        <f aca="false">IF(14=Loan!$C$10,Loan!$C$8,0)</f>
        <v>0</v>
      </c>
      <c r="G21" s="24" t="n">
        <f aca="false">C21+D21-E21-F21</f>
        <v>0</v>
      </c>
      <c r="H21" s="35" t="n">
        <f aca="false">E21+F21</f>
        <v>0</v>
      </c>
    </row>
    <row r="22" customFormat="false" ht="18" hidden="false" customHeight="false" outlineLevel="0" collapsed="false">
      <c r="B22" s="36" t="n">
        <v>15</v>
      </c>
      <c r="C22" s="35" t="n">
        <f aca="false">IF(15&lt;=Loan!$C$10,G21,0)</f>
        <v>0</v>
      </c>
      <c r="D22" s="35" t="n">
        <f aca="false">C22*Loan!$F$10</f>
        <v>0</v>
      </c>
      <c r="E22" s="35" t="n">
        <f aca="false">IF(15&lt;=Loan!$C$10,Loan!$F$9,0)</f>
        <v>0</v>
      </c>
      <c r="F22" s="35" t="n">
        <f aca="false">IF(15=Loan!$C$10,Loan!$C$8,0)</f>
        <v>0</v>
      </c>
      <c r="G22" s="24" t="n">
        <f aca="false">C22+D22-E22-F22</f>
        <v>0</v>
      </c>
      <c r="H22" s="35" t="n">
        <f aca="false">E22+F22</f>
        <v>0</v>
      </c>
    </row>
    <row r="23" customFormat="false" ht="18" hidden="false" customHeight="false" outlineLevel="0" collapsed="false">
      <c r="B23" s="36" t="n">
        <v>16</v>
      </c>
      <c r="C23" s="35" t="n">
        <f aca="false">IF(16&lt;=Loan!$C$10,G22,0)</f>
        <v>0</v>
      </c>
      <c r="D23" s="35" t="n">
        <f aca="false">C23*Loan!$F$10</f>
        <v>0</v>
      </c>
      <c r="E23" s="35" t="n">
        <f aca="false">IF(16&lt;=Loan!$C$10,Loan!$F$9,0)</f>
        <v>0</v>
      </c>
      <c r="F23" s="35" t="n">
        <f aca="false">IF(16=Loan!$C$10,Loan!$C$8,0)</f>
        <v>0</v>
      </c>
      <c r="G23" s="24" t="n">
        <f aca="false">C23+D23-E23-F23</f>
        <v>0</v>
      </c>
      <c r="H23" s="35" t="n">
        <f aca="false">E23+F23</f>
        <v>0</v>
      </c>
    </row>
    <row r="24" customFormat="false" ht="18" hidden="false" customHeight="false" outlineLevel="0" collapsed="false">
      <c r="B24" s="36" t="n">
        <v>17</v>
      </c>
      <c r="C24" s="35" t="n">
        <f aca="false">IF(17&lt;=Loan!$C$10,G23,0)</f>
        <v>0</v>
      </c>
      <c r="D24" s="35" t="n">
        <f aca="false">C24*Loan!$F$10</f>
        <v>0</v>
      </c>
      <c r="E24" s="35" t="n">
        <f aca="false">IF(17&lt;=Loan!$C$10,Loan!$F$9,0)</f>
        <v>0</v>
      </c>
      <c r="F24" s="35" t="n">
        <f aca="false">IF(17=Loan!$C$10,Loan!$C$8,0)</f>
        <v>0</v>
      </c>
      <c r="G24" s="24" t="n">
        <f aca="false">C24+D24-E24-F24</f>
        <v>0</v>
      </c>
      <c r="H24" s="35" t="n">
        <f aca="false">E24+F24</f>
        <v>0</v>
      </c>
    </row>
    <row r="25" customFormat="false" ht="18" hidden="false" customHeight="false" outlineLevel="0" collapsed="false">
      <c r="B25" s="36" t="n">
        <v>18</v>
      </c>
      <c r="C25" s="35" t="n">
        <f aca="false">IF(18&lt;=Loan!$C$10,G24,0)</f>
        <v>0</v>
      </c>
      <c r="D25" s="35" t="n">
        <f aca="false">C25*Loan!$F$10</f>
        <v>0</v>
      </c>
      <c r="E25" s="35" t="n">
        <f aca="false">IF(18&lt;=Loan!$C$10,Loan!$F$9,0)</f>
        <v>0</v>
      </c>
      <c r="F25" s="35" t="n">
        <f aca="false">IF(18=Loan!$C$10,Loan!$C$8,0)</f>
        <v>0</v>
      </c>
      <c r="G25" s="24" t="n">
        <f aca="false">C25+D25-E25-F25</f>
        <v>0</v>
      </c>
      <c r="H25" s="35" t="n">
        <f aca="false">E25+F25</f>
        <v>0</v>
      </c>
    </row>
    <row r="26" customFormat="false" ht="18" hidden="false" customHeight="false" outlineLevel="0" collapsed="false">
      <c r="B26" s="36" t="n">
        <v>19</v>
      </c>
      <c r="C26" s="35" t="n">
        <f aca="false">IF(19&lt;=Loan!$C$10,G25,0)</f>
        <v>0</v>
      </c>
      <c r="D26" s="35" t="n">
        <f aca="false">C26*Loan!$F$10</f>
        <v>0</v>
      </c>
      <c r="E26" s="35" t="n">
        <f aca="false">IF(19&lt;=Loan!$C$10,Loan!$F$9,0)</f>
        <v>0</v>
      </c>
      <c r="F26" s="35" t="n">
        <f aca="false">IF(19=Loan!$C$10,Loan!$C$8,0)</f>
        <v>0</v>
      </c>
      <c r="G26" s="24" t="n">
        <f aca="false">C26+D26-E26-F26</f>
        <v>0</v>
      </c>
      <c r="H26" s="35" t="n">
        <f aca="false">E26+F26</f>
        <v>0</v>
      </c>
    </row>
    <row r="27" customFormat="false" ht="18" hidden="false" customHeight="false" outlineLevel="0" collapsed="false">
      <c r="B27" s="36" t="n">
        <v>20</v>
      </c>
      <c r="C27" s="35" t="n">
        <f aca="false">IF(20&lt;=Loan!$C$10,G26,0)</f>
        <v>0</v>
      </c>
      <c r="D27" s="35" t="n">
        <f aca="false">C27*Loan!$F$10</f>
        <v>0</v>
      </c>
      <c r="E27" s="35" t="n">
        <f aca="false">IF(20&lt;=Loan!$C$10,Loan!$F$9,0)</f>
        <v>0</v>
      </c>
      <c r="F27" s="35" t="n">
        <f aca="false">IF(20=Loan!$C$10,Loan!$C$8,0)</f>
        <v>0</v>
      </c>
      <c r="G27" s="24" t="n">
        <f aca="false">C27+D27-E27-F27</f>
        <v>0</v>
      </c>
      <c r="H27" s="35" t="n">
        <f aca="false">E27+F27</f>
        <v>0</v>
      </c>
    </row>
  </sheetData>
  <mergeCells count="2">
    <mergeCell ref="B2:H3"/>
    <mergeCell ref="B4:H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F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48"/>
    <col collapsed="false" customWidth="true" hidden="false" outlineLevel="0" max="3" min="3" style="0" width="18"/>
    <col collapsed="false" customWidth="true" hidden="false" outlineLevel="0" max="4" min="4" style="0" width="4"/>
    <col collapsed="false" customWidth="true" hidden="false" outlineLevel="0" max="5" min="5" style="0" width="48"/>
    <col collapsed="false" customWidth="true" hidden="false" outlineLevel="0" max="6" min="6" style="0" width="18"/>
  </cols>
  <sheetData>
    <row r="1" customFormat="false" ht="18" hidden="false" customHeight="false" outlineLevel="0" collapsed="false"/>
    <row r="2" customFormat="false" ht="19.5" hidden="false" customHeight="true" outlineLevel="0" collapsed="false">
      <c r="B2" s="19" t="s">
        <v>52</v>
      </c>
      <c r="C2" s="19"/>
      <c r="D2" s="19"/>
      <c r="E2" s="19"/>
      <c r="F2" s="19"/>
    </row>
    <row r="3" customFormat="false" ht="19.5" hidden="false" customHeight="true" outlineLevel="0" collapsed="false">
      <c r="B3" s="19"/>
      <c r="C3" s="19"/>
      <c r="D3" s="19"/>
      <c r="E3" s="19"/>
      <c r="F3" s="19"/>
    </row>
    <row r="4" customFormat="false" ht="19.5" hidden="false" customHeight="true" outlineLevel="0" collapsed="false">
      <c r="B4" s="20" t="s">
        <v>53</v>
      </c>
      <c r="C4" s="20"/>
      <c r="D4" s="20"/>
      <c r="E4" s="20"/>
      <c r="F4" s="20"/>
    </row>
    <row r="5" customFormat="false" ht="3.75" hidden="false" customHeight="true" outlineLevel="0" collapsed="false">
      <c r="B5" s="4"/>
      <c r="C5" s="4"/>
      <c r="D5" s="4"/>
      <c r="E5" s="4"/>
      <c r="F5" s="4"/>
    </row>
    <row r="6" customFormat="false" ht="18" hidden="false" customHeight="false" outlineLevel="0" collapsed="false"/>
    <row r="7" customFormat="false" ht="18" hidden="false" customHeight="false" outlineLevel="0" collapsed="false">
      <c r="B7" s="21" t="s">
        <v>26</v>
      </c>
      <c r="E7" s="21" t="s">
        <v>27</v>
      </c>
    </row>
    <row r="8" customFormat="false" ht="18" hidden="false" customHeight="false" outlineLevel="0" collapsed="false">
      <c r="B8" s="22" t="s">
        <v>54</v>
      </c>
      <c r="C8" s="26" t="n">
        <v>2</v>
      </c>
      <c r="E8" s="22" t="s">
        <v>55</v>
      </c>
      <c r="F8" s="24" t="n">
        <f aca="false">INDEX(Schedule!G8:G27,C8)</f>
        <v>981011.820818179</v>
      </c>
    </row>
    <row r="9" customFormat="false" ht="18" hidden="false" customHeight="false" outlineLevel="0" collapsed="false">
      <c r="B9" s="22" t="s">
        <v>56</v>
      </c>
      <c r="C9" s="25" t="n">
        <v>0.03</v>
      </c>
      <c r="E9" s="22" t="s">
        <v>57</v>
      </c>
      <c r="F9" s="24" t="n">
        <f aca="false">PV(Loan!F10,C10,-Loan!C8*C9,-Loan!C8)</f>
        <v>927259.960470592</v>
      </c>
    </row>
    <row r="10" customFormat="false" ht="18" hidden="false" customHeight="false" outlineLevel="0" collapsed="false">
      <c r="B10" s="22" t="s">
        <v>58</v>
      </c>
      <c r="C10" s="26" t="n">
        <v>3</v>
      </c>
      <c r="E10" s="22" t="s">
        <v>59</v>
      </c>
      <c r="F10" s="24" t="n">
        <f aca="false">F9+C11</f>
        <v>927259.960470592</v>
      </c>
    </row>
    <row r="11" customFormat="false" ht="18" hidden="false" customHeight="false" outlineLevel="0" collapsed="false">
      <c r="B11" s="22" t="s">
        <v>60</v>
      </c>
      <c r="C11" s="23" t="n">
        <v>0</v>
      </c>
      <c r="E11" s="22" t="s">
        <v>61</v>
      </c>
      <c r="F11" s="37" t="n">
        <f aca="false">IF(F8=0,0,ABS(F10-F8)/F8)</f>
        <v>0.054792265706602</v>
      </c>
    </row>
    <row r="12" customFormat="false" ht="31.5" hidden="false" customHeight="true" outlineLevel="0" collapsed="false">
      <c r="E12" s="22" t="s">
        <v>62</v>
      </c>
      <c r="F12" s="38" t="str">
        <f aca="false">IF(F11&gt;=0.1,"Substantial: derecognise and recognise a new liability","Not substantial: adjust the carrying amount")</f>
        <v>Not substantial: adjust the carrying amount</v>
      </c>
    </row>
    <row r="13" customFormat="false" ht="18" hidden="false" customHeight="false" outlineLevel="0" collapsed="false">
      <c r="B13" s="30" t="s">
        <v>63</v>
      </c>
      <c r="C13" s="31" t="str">
        <f aca="false">IF(AND(C8&gt;=1,C8&lt;Loan!C10),"✓ OK","✗ Choose an earlier year")</f>
        <v>✓ OK</v>
      </c>
      <c r="E13" s="22" t="s">
        <v>64</v>
      </c>
      <c r="F13" s="24" t="n">
        <f aca="false">IF(F11&gt;=0.1,0,F8-F9)</f>
        <v>53751.8603475872</v>
      </c>
    </row>
    <row r="14" customFormat="false" ht="18" hidden="false" customHeight="false" outlineLevel="0" collapsed="false"/>
    <row r="15" customFormat="false" ht="18" hidden="false" customHeight="true" outlineLevel="0" collapsed="false">
      <c r="B15" s="29" t="s">
        <v>65</v>
      </c>
      <c r="C15" s="29"/>
      <c r="D15" s="29"/>
      <c r="E15" s="29"/>
      <c r="F15" s="29"/>
    </row>
    <row r="16" customFormat="false" ht="18" hidden="false" customHeight="false" outlineLevel="0" collapsed="false">
      <c r="B16" s="29"/>
      <c r="C16" s="29"/>
      <c r="D16" s="29"/>
      <c r="E16" s="29"/>
      <c r="F16" s="29"/>
    </row>
    <row r="17" customFormat="false" ht="18" hidden="false" customHeight="false" outlineLevel="0" collapsed="false">
      <c r="B17" s="29"/>
      <c r="C17" s="29"/>
      <c r="D17" s="29"/>
      <c r="E17" s="29"/>
      <c r="F17" s="29"/>
    </row>
  </sheetData>
  <mergeCells count="3">
    <mergeCell ref="B2:F3"/>
    <mergeCell ref="B4:F4"/>
    <mergeCell ref="B15:F17"/>
  </mergeCells>
  <conditionalFormatting sqref="C13">
    <cfRule type="expression" priority="2" aboveAverage="0" equalAverage="0" bottom="0" percent="0" rank="0" text="" dxfId="0">
      <formula>LEFT(C13,1)="✓"</formula>
    </cfRule>
    <cfRule type="expression" priority="3" aboveAverage="0" equalAverage="0" bottom="0" percent="0" rank="0" text="" dxfId="1">
      <formula>LEFT(C13,1)&lt;&gt;"✓"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2026-10-04T07:55:13Z</dcterms:created>
  <dc:creator>openpyxl</dc:creator>
  <dc:description/>
  <dc:language>en-US</dc:language>
  <cp:lastModifiedBy/>
  <dcterms:modified xsi:type="dcterms:W3CDTF">2026-10-04T07:55:16Z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