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Inputs" sheetId="2" state="visible" r:id="rId4"/>
    <sheet name="Lifetime ECL" sheetId="3" state="visible" r:id="rId5"/>
    <sheet name="Stag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<sst xmlns="http://schemas.openxmlformats.org/spreadsheetml/2006/main" count="92" uniqueCount="87">
  <si>
    <t xml:space="preserve">ECL staging and lifetime calculator</t>
  </si>
  <si>
    <t xml:space="preserve">IFRS 9: 12-month and lifetime ECL from PD, LGD and EAD, and the SICR test that sets each loan's stage</t>
  </si>
  <si>
    <t xml:space="preserve">HOW IT WORKS</t>
  </si>
  <si>
    <t xml:space="preserve">Enter the loan</t>
  </si>
  <si>
    <t xml:space="preserve">Read the ECL</t>
  </si>
  <si>
    <t xml:space="preserve">Stage the portfolio</t>
  </si>
  <si>
    <t xml:space="preserve">EAD, term, rate, PD, LGD</t>
  </si>
  <si>
    <t xml:space="preserve">12-month vs lifetime</t>
  </si>
  <si>
    <t xml:space="preserve">SICR and days past due</t>
  </si>
  <si>
    <t xml:space="preserve">LIVE RESULTS</t>
  </si>
  <si>
    <t xml:space="preserve">12-month ECL</t>
  </si>
  <si>
    <t xml:space="preserve">Lifetime ECL</t>
  </si>
  <si>
    <t xml:space="preserve">Portfolio ECL</t>
  </si>
  <si>
    <t xml:space="preserve">Check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</si>
  <si>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</si>
  <si>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</si>
  <si>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</si>
  <si>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</si>
  <si>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</si>
  <si>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</si>
  <si>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Inputs  ›</t>
  </si>
  <si>
    <t xml:space="preserve">Lifetime ECL  ›</t>
  </si>
  <si>
    <t xml:space="preserve">Staging  ›</t>
  </si>
  <si>
    <t xml:space="preserve">Example: Northline Telecom, a fictional company, in CU million. Replace the figures with your own. General information, not advice. taxbakers.com/ifrs-18</t>
  </si>
  <si>
    <t xml:space="preserve">Inputs</t>
  </si>
  <si>
    <t xml:space="preserve">One loan for the lifetime calculation, and the thresholds for the staging test.</t>
  </si>
  <si>
    <t xml:space="preserve">THE LOAN</t>
  </si>
  <si>
    <t xml:space="preserve">Exposure at default (outstanding balance)</t>
  </si>
  <si>
    <t xml:space="preserve">Bullet loan: the full balance is outstanding until maturity</t>
  </si>
  <si>
    <t xml:space="preserve">Remaining term in years (1 to 10)</t>
  </si>
  <si>
    <t xml:space="preserve">Effective interest rate (discount rate)</t>
  </si>
  <si>
    <t xml:space="preserve">IFRS 9 discounts at the original effective rate</t>
  </si>
  <si>
    <t xml:space="preserve">Annual PD, conditional on survival to that year</t>
  </si>
  <si>
    <t xml:space="preserve">The chance of default in a year, if the loan has not defaulted before</t>
  </si>
  <si>
    <t xml:space="preserve">Loss given default (LGD)</t>
  </si>
  <si>
    <t xml:space="preserve">Share of the exposure lost if the borrower defaults</t>
  </si>
  <si>
    <t xml:space="preserve">STAGING THRESHOLDS</t>
  </si>
  <si>
    <t xml:space="preserve">SICR: lifetime PD at least this multiple of the PD at origination</t>
  </si>
  <si>
    <t xml:space="preserve">Relative test</t>
  </si>
  <si>
    <t xml:space="preserve">SICR: and an increase of at least (percentage points)</t>
  </si>
  <si>
    <t xml:space="preserve">Absolute floor, so tiny PDs doubling do not trigger stage 2</t>
  </si>
  <si>
    <t xml:space="preserve">Backstop: days past due that move a loan to stage 2</t>
  </si>
  <si>
    <t xml:space="preserve">The rebuttable presumption in IFRS 9</t>
  </si>
  <si>
    <t xml:space="preserve">Default: days past due that move a loan to stage 3</t>
  </si>
  <si>
    <t xml:space="preserve">The rebuttable presumption for default</t>
  </si>
  <si>
    <t xml:space="preserve">Thresholds are examples; each lender sets and documents its own SICR criteria (IFRS 9.5.5.9 and B5.5.17). The days past due presumptions can be rebutted only with reasonable and supportable information.</t>
  </si>
  <si>
    <t xml:space="preserve">ECL for each year = marginal PD x LGD x EAD x discount factor. 12-month ECL is year 1; lifetime ECL is the total.</t>
  </si>
  <si>
    <t xml:space="preserve">Year</t>
  </si>
  <si>
    <t xml:space="preserve">Survival at start</t>
  </si>
  <si>
    <t xml:space="preserve">Conditional PD</t>
  </si>
  <si>
    <t xml:space="preserve">Marginal PD</t>
  </si>
  <si>
    <t xml:space="preserve">EAD</t>
  </si>
  <si>
    <t xml:space="preserve">LGD</t>
  </si>
  <si>
    <t xml:space="preserve">Discount factor</t>
  </si>
  <si>
    <t xml:space="preserve">ECL</t>
  </si>
  <si>
    <t xml:space="preserve">Totals</t>
  </si>
  <si>
    <t xml:space="preserve">12-month ECL (stage 1)</t>
  </si>
  <si>
    <t xml:space="preserve">Lifetime ECL (stage 2)</t>
  </si>
  <si>
    <t xml:space="preserve">Lifetime ECL as % of exposure</t>
  </si>
  <si>
    <t xml:space="preserve">Lifetime PD (cumulative)</t>
  </si>
  <si>
    <t xml:space="preserve">Stage 3: PD = 100%, ECL = EAD x LGD</t>
  </si>
  <si>
    <t xml:space="preserve">Marginal PD is the chance of defaulting in that year and not before. Discounting uses the effective interest rate. A real model would also reflect amortisation, prepayments and forward-looking scenarios; see the other ECL models.</t>
  </si>
  <si>
    <t xml:space="preserve">Staging</t>
  </si>
  <si>
    <t xml:space="preserve">Each loan's stage from the SICR test and the days past due rules, then ECL: 12-month PD in stage 1, lifetime PD in stage 2, 100% in stage 3.</t>
  </si>
  <si>
    <t xml:space="preserve">Loan</t>
  </si>
  <si>
    <t xml:space="preserve">Balance</t>
  </si>
  <si>
    <t xml:space="preserve">Lifetime PD at origination</t>
  </si>
  <si>
    <t xml:space="preserve">Lifetime PD now</t>
  </si>
  <si>
    <t xml:space="preserve">12-month PD now</t>
  </si>
  <si>
    <t xml:space="preserve">Days past due</t>
  </si>
  <si>
    <t xml:space="preserve">Why</t>
  </si>
  <si>
    <t xml:space="preserve">Stage</t>
  </si>
  <si>
    <t xml:space="preserve">PD used</t>
  </si>
  <si>
    <t xml:space="preserve">Loan A</t>
  </si>
  <si>
    <t xml:space="preserve">Loan B</t>
  </si>
  <si>
    <t xml:space="preserve">Loan C</t>
  </si>
  <si>
    <t xml:space="preserve">Loan D</t>
  </si>
  <si>
    <t xml:space="preserve">Loan E</t>
  </si>
  <si>
    <t xml:space="preserve">Loan F</t>
  </si>
  <si>
    <t xml:space="preserve">Loans</t>
  </si>
  <si>
    <t xml:space="preserve">Coverage</t>
  </si>
  <si>
    <t xml:space="preserve">Stage 1</t>
  </si>
  <si>
    <t xml:space="preserve">Stage 2</t>
  </si>
  <si>
    <t xml:space="preserve">Stage 3</t>
  </si>
  <si>
    <t xml:space="preserve">Total</t>
  </si>
  <si>
    <t xml:space="preserve">Check: every loan has a stage</t>
  </si>
  <si>
    <t xml:space="preserve">ECL here is balance x PD x LGD, undiscounted, to show the effect of staging; the Lifetime ECL sheet shows the full calculation with marginal PDs and discounting. Lifetime PDs are compared for the remaining life (IFRS 9.B5.5.11).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</si>
</sst>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#,##0;\(#,##0\);;"/>
    <numFmt numFmtId="167" formatCode="0"/>
    <numFmt numFmtId="168" formatCode="0.0%;\(0.0%\);;"/>
    <numFmt numFmtId="169" formatCode="0.00%"/>
    <numFmt numFmtId="170" formatCode="0.0\x"/>
    <numFmt numFmtId="171" formatCode="0.0000"/>
    <numFmt numFmtId="172" formatCode="#,##0.0;\(#,##0.0\);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9"/>
      <name val="Arial"/>
      <family val="0"/>
      <charset val="1"/>
    </font>
    <font>
      <sz val="10"/>
      <color rgb="FF6B7A8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9D9D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6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7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9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2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12"/>
      </font>
      <fill>
        <patternFill>
          <bgColor rgb="FFDFF0D0"/>
        </patternFill>
      </fill>
    </dxf>
    <dxf>
      <font>
        <name val="Arial"/>
        <charset val="1"/>
        <family val="0"/>
        <b val="1"/>
        <color rgb="FFA12B1E"/>
      </font>
      <fill>
        <patternFill>
          <bgColor rgb="FFF8D7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12"/>
      <rgbColor rgb="FF000080"/>
      <rgbColor rgb="FF808000"/>
      <rgbColor rgb="FF800080"/>
      <rgbColor rgb="FF008080"/>
      <rgbColor rgb="FFD5DBD8"/>
      <rgbColor rgb="FF878787"/>
      <rgbColor rgb="FF9999FF"/>
      <rgbColor rgb="FF993366"/>
      <rgbColor rgb="FFFFF4C2"/>
      <rgbColor rgb="FFF3F5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99CCFF"/>
      <rgbColor rgb="FFFF99CC"/>
      <rgbColor rgb="FFCC99FF"/>
      <rgbColor rgb="FFF8D7D2"/>
      <rgbColor rgb="FF3366FF"/>
      <rgbColor rgb="FF33CCCC"/>
      <rgbColor rgb="FF86BC25"/>
      <rgbColor rgb="FFFFCC00"/>
      <rgbColor rgb="FFFF9900"/>
      <rgbColor rgb="FFFF6600"/>
      <rgbColor rgb="FF6B7A80"/>
      <rgbColor rgb="FF969696"/>
      <rgbColor rgb="FF0E3D4A"/>
      <rgbColor rgb="FF339966"/>
      <rgbColor rgb="FF003300"/>
      <rgbColor rgb="FF333300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ECL by year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e3d4a"/>
            </a:solidFill>
            <a:ln w="0">
              <a:solidFill>
                <a:srgbClr val="0e3d4a"/>
              </a:solidFill>
            </a:ln>
          </c:spPr>
          <c:invertIfNegative val="0"/>
          <c:dLbls>
            <c:numFmt formatCode="#,##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'Lifetime ECL'!$B$8:$B$17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'Lifetime ECL'!$I$8:$I$17</c:f>
              <c:numCache>
                <c:formatCode>#,##0;\(#,##0\);;</c:formatCode>
                <c:ptCount val="10"/>
                <c:pt idx="0">
                  <c:v>7407.40740740741</c:v>
                </c:pt>
                <c:pt idx="1">
                  <c:v>6721.53635116598</c:v>
                </c:pt>
                <c:pt idx="2">
                  <c:v>6099.17187420617</c:v>
                </c:pt>
                <c:pt idx="3">
                  <c:v>5534.4337377056</c:v>
                </c:pt>
                <c:pt idx="4">
                  <c:v>5021.98616939952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gapWidth val="60"/>
        <c:overlap val="0"/>
        <c:axId val="57359578"/>
        <c:axId val="32315125"/>
      </c:barChart>
      <c:catAx>
        <c:axId val="5735957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315125"/>
        <c:crosses val="autoZero"/>
        <c:auto val="1"/>
        <c:lblAlgn val="ctr"/>
        <c:lblOffset val="100"/>
        <c:noMultiLvlLbl val="0"/>
      </c:catAx>
      <c:valAx>
        <c:axId val="32315125"/>
        <c:scaling>
          <c:orientation val="minMax"/>
        </c:scaling>
        <c:delete val="1"/>
        <c:axPos val="l"/>
        <c:numFmt formatCode="#,##0;\(#,##0\)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359578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6</xdr:row>
      <xdr:rowOff>0</xdr:rowOff>
    </xdr:from>
    <xdr:to>
      <xdr:col>19</xdr:col>
      <xdr:colOff>256320</xdr:colOff>
      <xdr:row>16</xdr:row>
      <xdr:rowOff>33480</xdr:rowOff>
    </xdr:to>
    <xdr:graphicFrame>
      <xdr:nvGraphicFramePr>
        <xdr:cNvPr id="0" name="Chart 1"/>
        <xdr:cNvGraphicFramePr/>
      </xdr:nvGraphicFramePr>
      <xdr:xfrm>
        <a:off x="8048160" y="1247760"/>
        <a:ext cx="57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'Lifetime ECL'!I21</f>
        <v>7407.40740740741</v>
      </c>
      <c r="C15" s="10"/>
      <c r="D15" s="10"/>
      <c r="E15" s="10" t="n">
        <f aca="false">'Lifetime ECL'!I22</f>
        <v>30784.5355398847</v>
      </c>
      <c r="F15" s="10"/>
      <c r="G15" s="10"/>
      <c r="H15" s="10" t="n">
        <f aca="false">Staging!E28</f>
        <v>35776</v>
      </c>
      <c r="I15" s="10"/>
      <c r="J15" s="10"/>
      <c r="K15" s="11" t="str">
        <f aca="false">Staging!E30</f>
        <v>✓ All staged</v>
      </c>
      <c r="L15" s="11"/>
      <c r="M15" s="11"/>
    </row>
    <row r="16" customFormat="false" ht="21.7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1"/>
      <c r="M16" s="11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2" t="s">
        <v>15</v>
      </c>
      <c r="C19" s="12"/>
      <c r="D19" s="12"/>
      <c r="E19" s="13" t="s">
        <v>16</v>
      </c>
      <c r="F19" s="13"/>
      <c r="G19" s="13"/>
      <c r="H19" s="14" t="s">
        <v>17</v>
      </c>
      <c r="I19" s="14"/>
      <c r="J19" s="14"/>
      <c r="K19" s="15" t="s">
        <v>18</v>
      </c>
      <c r="L19" s="15"/>
      <c r="M19" s="15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6" t="s">
        <v>20</v>
      </c>
      <c r="C22" s="16"/>
      <c r="D22" s="16"/>
      <c r="E22" s="16" t="s">
        <v>21</v>
      </c>
      <c r="F22" s="16"/>
      <c r="G22" s="16"/>
      <c r="H22" s="16" t="s">
        <v>22</v>
      </c>
      <c r="I22" s="16"/>
      <c r="J22" s="16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7" t="s">
        <v>23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</sheetData>
  <mergeCells count="31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E22:G22"/>
    <mergeCell ref="H22:J22"/>
    <mergeCell ref="B41:M41"/>
  </mergeCells>
  <conditionalFormatting sqref="K15">
    <cfRule type="expression" priority="2" aboveAverage="0" equalAverage="0" bottom="0" percent="0" rank="0" text="" dxfId="0">
      <formula>LEFT(K15,1)="✓"</formula>
    </cfRule>
    <cfRule type="expression" priority="3" aboveAverage="0" equalAverage="0" bottom="0" percent="0" rank="0" text="" dxfId="1">
      <formula>LEFT(K15,1)&lt;&gt;"✓"</formula>
    </cfRule>
  </conditionalFormatting>
  <hyperlinks>
    <hyperlink ref="B22" location="'Inputs'!B2" display="Inputs  ›"/>
    <hyperlink ref="E22" location="'Lifetime ECL'!B2" display="Lifetime ECL  ›"/>
    <hyperlink ref="H22" location="'Staging'!B2" display="Staging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0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4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24</v>
      </c>
      <c r="C2" s="18"/>
      <c r="D2" s="18"/>
      <c r="E2" s="18"/>
    </row>
    <row r="3" customFormat="false" ht="19.5" hidden="false" customHeight="true" outlineLevel="0" collapsed="false">
      <c r="B3" s="18"/>
      <c r="C3" s="18"/>
      <c r="D3" s="18"/>
      <c r="E3" s="18"/>
    </row>
    <row r="4" customFormat="false" ht="19.5" hidden="false" customHeight="true" outlineLevel="0" collapsed="false">
      <c r="B4" s="19" t="s">
        <v>25</v>
      </c>
      <c r="C4" s="19"/>
      <c r="D4" s="19"/>
      <c r="E4" s="19"/>
    </row>
    <row r="5" customFormat="false" ht="3.75" hidden="false" customHeight="true" outlineLevel="0" collapsed="false">
      <c r="B5" s="4"/>
      <c r="C5" s="4"/>
      <c r="D5" s="4"/>
      <c r="E5" s="4"/>
    </row>
    <row r="6" customFormat="false" ht="18" hidden="false" customHeight="false" outlineLevel="0" collapsed="false"/>
    <row r="7" customFormat="false" ht="18" hidden="false" customHeight="false" outlineLevel="0" collapsed="false">
      <c r="B7" s="20" t="s">
        <v>26</v>
      </c>
    </row>
    <row r="8" customFormat="false" ht="18" hidden="false" customHeight="false" outlineLevel="0" collapsed="false">
      <c r="B8" s="21" t="s">
        <v>27</v>
      </c>
      <c r="C8" s="22" t="n">
        <v>1000000</v>
      </c>
      <c r="E8" s="23" t="s">
        <v>28</v>
      </c>
    </row>
    <row r="9" customFormat="false" ht="18" hidden="false" customHeight="false" outlineLevel="0" collapsed="false">
      <c r="B9" s="21" t="s">
        <v>29</v>
      </c>
      <c r="C9" s="24" t="n">
        <v>5</v>
      </c>
      <c r="E9" s="23"/>
    </row>
    <row r="10" customFormat="false" ht="18" hidden="false" customHeight="false" outlineLevel="0" collapsed="false">
      <c r="B10" s="21" t="s">
        <v>30</v>
      </c>
      <c r="C10" s="25" t="n">
        <v>0.08</v>
      </c>
      <c r="E10" s="23" t="s">
        <v>31</v>
      </c>
    </row>
    <row r="11" customFormat="false" ht="22.35" hidden="false" customHeight="false" outlineLevel="0" collapsed="false">
      <c r="B11" s="21" t="s">
        <v>32</v>
      </c>
      <c r="C11" s="26" t="n">
        <v>0.02</v>
      </c>
      <c r="E11" s="23" t="s">
        <v>33</v>
      </c>
    </row>
    <row r="12" customFormat="false" ht="18" hidden="false" customHeight="false" outlineLevel="0" collapsed="false">
      <c r="B12" s="21" t="s">
        <v>34</v>
      </c>
      <c r="C12" s="25" t="n">
        <v>0.4</v>
      </c>
      <c r="E12" s="23" t="s">
        <v>35</v>
      </c>
    </row>
    <row r="13" customFormat="false" ht="18" hidden="false" customHeight="false" outlineLevel="0" collapsed="false"/>
    <row r="14" customFormat="false" ht="18" hidden="false" customHeight="false" outlineLevel="0" collapsed="false">
      <c r="B14" s="20" t="s">
        <v>36</v>
      </c>
    </row>
    <row r="15" customFormat="false" ht="23.85" hidden="false" customHeight="false" outlineLevel="0" collapsed="false">
      <c r="B15" s="21" t="s">
        <v>37</v>
      </c>
      <c r="C15" s="27" t="n">
        <v>2</v>
      </c>
      <c r="E15" s="23" t="s">
        <v>38</v>
      </c>
    </row>
    <row r="16" customFormat="false" ht="18" hidden="false" customHeight="false" outlineLevel="0" collapsed="false">
      <c r="B16" s="21" t="s">
        <v>39</v>
      </c>
      <c r="C16" s="26" t="n">
        <v>0.01</v>
      </c>
      <c r="E16" s="23" t="s">
        <v>40</v>
      </c>
    </row>
    <row r="17" customFormat="false" ht="18" hidden="false" customHeight="false" outlineLevel="0" collapsed="false">
      <c r="B17" s="21" t="s">
        <v>41</v>
      </c>
      <c r="C17" s="24" t="n">
        <v>30</v>
      </c>
      <c r="E17" s="23" t="s">
        <v>42</v>
      </c>
    </row>
    <row r="18" customFormat="false" ht="18" hidden="false" customHeight="false" outlineLevel="0" collapsed="false">
      <c r="B18" s="21" t="s">
        <v>43</v>
      </c>
      <c r="C18" s="24" t="n">
        <v>90</v>
      </c>
      <c r="E18" s="23" t="s">
        <v>44</v>
      </c>
    </row>
    <row r="19" customFormat="false" ht="18" hidden="false" customHeight="false" outlineLevel="0" collapsed="false"/>
    <row r="20" customFormat="false" ht="18" hidden="false" customHeight="true" outlineLevel="0" collapsed="false">
      <c r="B20" s="28" t="s">
        <v>45</v>
      </c>
      <c r="C20" s="28"/>
      <c r="D20" s="28"/>
      <c r="E20" s="28"/>
    </row>
    <row r="21" customFormat="false" ht="18" hidden="false" customHeight="false" outlineLevel="0" collapsed="false">
      <c r="B21" s="28"/>
      <c r="C21" s="28"/>
      <c r="D21" s="28"/>
      <c r="E21" s="28"/>
    </row>
    <row r="22" customFormat="false" ht="18" hidden="false" customHeight="false" outlineLevel="0" collapsed="false">
      <c r="B22" s="28"/>
      <c r="C22" s="28"/>
      <c r="D22" s="28"/>
      <c r="E22" s="28"/>
    </row>
  </sheetData>
  <mergeCells count="3">
    <mergeCell ref="B2:E3"/>
    <mergeCell ref="B4:E4"/>
    <mergeCell ref="B20:E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I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5" min="4" style="0" width="13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5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11</v>
      </c>
      <c r="C2" s="18"/>
      <c r="D2" s="18"/>
      <c r="E2" s="18"/>
      <c r="F2" s="18"/>
      <c r="G2" s="18"/>
      <c r="H2" s="18"/>
      <c r="I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  <c r="H3" s="18"/>
      <c r="I3" s="18"/>
    </row>
    <row r="4" customFormat="false" ht="19.5" hidden="false" customHeight="true" outlineLevel="0" collapsed="false">
      <c r="B4" s="19" t="s">
        <v>46</v>
      </c>
      <c r="C4" s="19"/>
      <c r="D4" s="19"/>
      <c r="E4" s="19"/>
      <c r="F4" s="19"/>
      <c r="G4" s="19"/>
      <c r="H4" s="19"/>
      <c r="I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  <c r="I5" s="4"/>
    </row>
    <row r="6" customFormat="false" ht="18" hidden="false" customHeight="false" outlineLevel="0" collapsed="false"/>
    <row r="7" customFormat="false" ht="33.75" hidden="false" customHeight="true" outlineLevel="0" collapsed="false">
      <c r="B7" s="29" t="s">
        <v>47</v>
      </c>
      <c r="C7" s="30" t="s">
        <v>48</v>
      </c>
      <c r="D7" s="30" t="s">
        <v>49</v>
      </c>
      <c r="E7" s="30" t="s">
        <v>50</v>
      </c>
      <c r="F7" s="30" t="s">
        <v>51</v>
      </c>
      <c r="G7" s="30" t="s">
        <v>52</v>
      </c>
      <c r="H7" s="30" t="s">
        <v>53</v>
      </c>
      <c r="I7" s="30" t="s">
        <v>54</v>
      </c>
    </row>
    <row r="8" customFormat="false" ht="18" hidden="false" customHeight="false" outlineLevel="0" collapsed="false">
      <c r="B8" s="31" t="n">
        <v>1</v>
      </c>
      <c r="C8" s="32" t="n">
        <f aca="false">1</f>
        <v>1</v>
      </c>
      <c r="D8" s="32" t="n">
        <f aca="false">IF(1&lt;=Inputs!$C$9,Inputs!$C$11,0)</f>
        <v>0.02</v>
      </c>
      <c r="E8" s="32" t="n">
        <f aca="false">C8*D8</f>
        <v>0.02</v>
      </c>
      <c r="F8" s="33" t="n">
        <f aca="false">IF(1&lt;=Inputs!$C$9,Inputs!$C$8,0)</f>
        <v>1000000</v>
      </c>
      <c r="G8" s="34" t="n">
        <f aca="false">IF(1&lt;=Inputs!$C$9,Inputs!$C$12,0)</f>
        <v>0.4</v>
      </c>
      <c r="H8" s="35" t="n">
        <f aca="false">IF(1&lt;=Inputs!$C$9,1/(1+Inputs!$C$10)^B8,0)</f>
        <v>0.925925925925926</v>
      </c>
      <c r="I8" s="36" t="n">
        <f aca="false">E8*G8*F8*H8</f>
        <v>7407.40740740741</v>
      </c>
    </row>
    <row r="9" customFormat="false" ht="18" hidden="false" customHeight="false" outlineLevel="0" collapsed="false">
      <c r="B9" s="31" t="n">
        <v>2</v>
      </c>
      <c r="C9" s="32" t="n">
        <f aca="false">IF(2&lt;=Inputs!$C$9,C8*(1-D8),0)</f>
        <v>0.98</v>
      </c>
      <c r="D9" s="32" t="n">
        <f aca="false">IF(2&lt;=Inputs!$C$9,Inputs!$C$11,0)</f>
        <v>0.02</v>
      </c>
      <c r="E9" s="32" t="n">
        <f aca="false">C9*D9</f>
        <v>0.0196</v>
      </c>
      <c r="F9" s="33" t="n">
        <f aca="false">IF(2&lt;=Inputs!$C$9,Inputs!$C$8,0)</f>
        <v>1000000</v>
      </c>
      <c r="G9" s="34" t="n">
        <f aca="false">IF(2&lt;=Inputs!$C$9,Inputs!$C$12,0)</f>
        <v>0.4</v>
      </c>
      <c r="H9" s="35" t="n">
        <f aca="false">IF(2&lt;=Inputs!$C$9,1/(1+Inputs!$C$10)^B9,0)</f>
        <v>0.857338820301783</v>
      </c>
      <c r="I9" s="36" t="n">
        <f aca="false">E9*G9*F9*H9</f>
        <v>6721.53635116598</v>
      </c>
    </row>
    <row r="10" customFormat="false" ht="18" hidden="false" customHeight="false" outlineLevel="0" collapsed="false">
      <c r="B10" s="31" t="n">
        <v>3</v>
      </c>
      <c r="C10" s="32" t="n">
        <f aca="false">IF(3&lt;=Inputs!$C$9,C9*(1-D9),0)</f>
        <v>0.9604</v>
      </c>
      <c r="D10" s="32" t="n">
        <f aca="false">IF(3&lt;=Inputs!$C$9,Inputs!$C$11,0)</f>
        <v>0.02</v>
      </c>
      <c r="E10" s="32" t="n">
        <f aca="false">C10*D10</f>
        <v>0.019208</v>
      </c>
      <c r="F10" s="33" t="n">
        <f aca="false">IF(3&lt;=Inputs!$C$9,Inputs!$C$8,0)</f>
        <v>1000000</v>
      </c>
      <c r="G10" s="34" t="n">
        <f aca="false">IF(3&lt;=Inputs!$C$9,Inputs!$C$12,0)</f>
        <v>0.4</v>
      </c>
      <c r="H10" s="35" t="n">
        <f aca="false">IF(3&lt;=Inputs!$C$9,1/(1+Inputs!$C$10)^B10,0)</f>
        <v>0.79383224102017</v>
      </c>
      <c r="I10" s="36" t="n">
        <f aca="false">E10*G10*F10*H10</f>
        <v>6099.17187420617</v>
      </c>
    </row>
    <row r="11" customFormat="false" ht="18" hidden="false" customHeight="false" outlineLevel="0" collapsed="false">
      <c r="B11" s="31" t="n">
        <v>4</v>
      </c>
      <c r="C11" s="32" t="n">
        <f aca="false">IF(4&lt;=Inputs!$C$9,C10*(1-D10),0)</f>
        <v>0.941192</v>
      </c>
      <c r="D11" s="32" t="n">
        <f aca="false">IF(4&lt;=Inputs!$C$9,Inputs!$C$11,0)</f>
        <v>0.02</v>
      </c>
      <c r="E11" s="32" t="n">
        <f aca="false">C11*D11</f>
        <v>0.01882384</v>
      </c>
      <c r="F11" s="33" t="n">
        <f aca="false">IF(4&lt;=Inputs!$C$9,Inputs!$C$8,0)</f>
        <v>1000000</v>
      </c>
      <c r="G11" s="34" t="n">
        <f aca="false">IF(4&lt;=Inputs!$C$9,Inputs!$C$12,0)</f>
        <v>0.4</v>
      </c>
      <c r="H11" s="35" t="n">
        <f aca="false">IF(4&lt;=Inputs!$C$9,1/(1+Inputs!$C$10)^B11,0)</f>
        <v>0.735029852796453</v>
      </c>
      <c r="I11" s="36" t="n">
        <f aca="false">E11*G11*F11*H11</f>
        <v>5534.4337377056</v>
      </c>
    </row>
    <row r="12" customFormat="false" ht="18" hidden="false" customHeight="false" outlineLevel="0" collapsed="false">
      <c r="B12" s="31" t="n">
        <v>5</v>
      </c>
      <c r="C12" s="32" t="n">
        <f aca="false">IF(5&lt;=Inputs!$C$9,C11*(1-D11),0)</f>
        <v>0.92236816</v>
      </c>
      <c r="D12" s="32" t="n">
        <f aca="false">IF(5&lt;=Inputs!$C$9,Inputs!$C$11,0)</f>
        <v>0.02</v>
      </c>
      <c r="E12" s="32" t="n">
        <f aca="false">C12*D12</f>
        <v>0.0184473632</v>
      </c>
      <c r="F12" s="33" t="n">
        <f aca="false">IF(5&lt;=Inputs!$C$9,Inputs!$C$8,0)</f>
        <v>1000000</v>
      </c>
      <c r="G12" s="34" t="n">
        <f aca="false">IF(5&lt;=Inputs!$C$9,Inputs!$C$12,0)</f>
        <v>0.4</v>
      </c>
      <c r="H12" s="35" t="n">
        <f aca="false">IF(5&lt;=Inputs!$C$9,1/(1+Inputs!$C$10)^B12,0)</f>
        <v>0.680583197033753</v>
      </c>
      <c r="I12" s="36" t="n">
        <f aca="false">E12*G12*F12*H12</f>
        <v>5021.98616939952</v>
      </c>
    </row>
    <row r="13" customFormat="false" ht="18" hidden="false" customHeight="false" outlineLevel="0" collapsed="false">
      <c r="B13" s="31" t="n">
        <v>6</v>
      </c>
      <c r="C13" s="32" t="n">
        <f aca="false">IF(6&lt;=Inputs!$C$9,C12*(1-D12),0)</f>
        <v>0</v>
      </c>
      <c r="D13" s="32" t="n">
        <f aca="false">IF(6&lt;=Inputs!$C$9,Inputs!$C$11,0)</f>
        <v>0</v>
      </c>
      <c r="E13" s="32" t="n">
        <f aca="false">C13*D13</f>
        <v>0</v>
      </c>
      <c r="F13" s="33" t="n">
        <f aca="false">IF(6&lt;=Inputs!$C$9,Inputs!$C$8,0)</f>
        <v>0</v>
      </c>
      <c r="G13" s="34" t="n">
        <f aca="false">IF(6&lt;=Inputs!$C$9,Inputs!$C$12,0)</f>
        <v>0</v>
      </c>
      <c r="H13" s="35" t="n">
        <f aca="false">IF(6&lt;=Inputs!$C$9,1/(1+Inputs!$C$10)^B13,0)</f>
        <v>0</v>
      </c>
      <c r="I13" s="36" t="n">
        <f aca="false">E13*G13*F13*H13</f>
        <v>0</v>
      </c>
    </row>
    <row r="14" customFormat="false" ht="18" hidden="false" customHeight="false" outlineLevel="0" collapsed="false">
      <c r="B14" s="31" t="n">
        <v>7</v>
      </c>
      <c r="C14" s="32" t="n">
        <f aca="false">IF(7&lt;=Inputs!$C$9,C13*(1-D13),0)</f>
        <v>0</v>
      </c>
      <c r="D14" s="32" t="n">
        <f aca="false">IF(7&lt;=Inputs!$C$9,Inputs!$C$11,0)</f>
        <v>0</v>
      </c>
      <c r="E14" s="32" t="n">
        <f aca="false">C14*D14</f>
        <v>0</v>
      </c>
      <c r="F14" s="33" t="n">
        <f aca="false">IF(7&lt;=Inputs!$C$9,Inputs!$C$8,0)</f>
        <v>0</v>
      </c>
      <c r="G14" s="34" t="n">
        <f aca="false">IF(7&lt;=Inputs!$C$9,Inputs!$C$12,0)</f>
        <v>0</v>
      </c>
      <c r="H14" s="35" t="n">
        <f aca="false">IF(7&lt;=Inputs!$C$9,1/(1+Inputs!$C$10)^B14,0)</f>
        <v>0</v>
      </c>
      <c r="I14" s="36" t="n">
        <f aca="false">E14*G14*F14*H14</f>
        <v>0</v>
      </c>
    </row>
    <row r="15" customFormat="false" ht="18" hidden="false" customHeight="false" outlineLevel="0" collapsed="false">
      <c r="B15" s="31" t="n">
        <v>8</v>
      </c>
      <c r="C15" s="32" t="n">
        <f aca="false">IF(8&lt;=Inputs!$C$9,C14*(1-D14),0)</f>
        <v>0</v>
      </c>
      <c r="D15" s="32" t="n">
        <f aca="false">IF(8&lt;=Inputs!$C$9,Inputs!$C$11,0)</f>
        <v>0</v>
      </c>
      <c r="E15" s="32" t="n">
        <f aca="false">C15*D15</f>
        <v>0</v>
      </c>
      <c r="F15" s="33" t="n">
        <f aca="false">IF(8&lt;=Inputs!$C$9,Inputs!$C$8,0)</f>
        <v>0</v>
      </c>
      <c r="G15" s="34" t="n">
        <f aca="false">IF(8&lt;=Inputs!$C$9,Inputs!$C$12,0)</f>
        <v>0</v>
      </c>
      <c r="H15" s="35" t="n">
        <f aca="false">IF(8&lt;=Inputs!$C$9,1/(1+Inputs!$C$10)^B15,0)</f>
        <v>0</v>
      </c>
      <c r="I15" s="36" t="n">
        <f aca="false">E15*G15*F15*H15</f>
        <v>0</v>
      </c>
    </row>
    <row r="16" customFormat="false" ht="18" hidden="false" customHeight="false" outlineLevel="0" collapsed="false">
      <c r="B16" s="31" t="n">
        <v>9</v>
      </c>
      <c r="C16" s="32" t="n">
        <f aca="false">IF(9&lt;=Inputs!$C$9,C15*(1-D15),0)</f>
        <v>0</v>
      </c>
      <c r="D16" s="32" t="n">
        <f aca="false">IF(9&lt;=Inputs!$C$9,Inputs!$C$11,0)</f>
        <v>0</v>
      </c>
      <c r="E16" s="32" t="n">
        <f aca="false">C16*D16</f>
        <v>0</v>
      </c>
      <c r="F16" s="33" t="n">
        <f aca="false">IF(9&lt;=Inputs!$C$9,Inputs!$C$8,0)</f>
        <v>0</v>
      </c>
      <c r="G16" s="34" t="n">
        <f aca="false">IF(9&lt;=Inputs!$C$9,Inputs!$C$12,0)</f>
        <v>0</v>
      </c>
      <c r="H16" s="35" t="n">
        <f aca="false">IF(9&lt;=Inputs!$C$9,1/(1+Inputs!$C$10)^B16,0)</f>
        <v>0</v>
      </c>
      <c r="I16" s="36" t="n">
        <f aca="false">E16*G16*F16*H16</f>
        <v>0</v>
      </c>
    </row>
    <row r="17" customFormat="false" ht="18" hidden="false" customHeight="false" outlineLevel="0" collapsed="false">
      <c r="B17" s="31" t="n">
        <v>10</v>
      </c>
      <c r="C17" s="32" t="n">
        <f aca="false">IF(10&lt;=Inputs!$C$9,C16*(1-D16),0)</f>
        <v>0</v>
      </c>
      <c r="D17" s="32" t="n">
        <f aca="false">IF(10&lt;=Inputs!$C$9,Inputs!$C$11,0)</f>
        <v>0</v>
      </c>
      <c r="E17" s="32" t="n">
        <f aca="false">C17*D17</f>
        <v>0</v>
      </c>
      <c r="F17" s="33" t="n">
        <f aca="false">IF(10&lt;=Inputs!$C$9,Inputs!$C$8,0)</f>
        <v>0</v>
      </c>
      <c r="G17" s="34" t="n">
        <f aca="false">IF(10&lt;=Inputs!$C$9,Inputs!$C$12,0)</f>
        <v>0</v>
      </c>
      <c r="H17" s="35" t="n">
        <f aca="false">IF(10&lt;=Inputs!$C$9,1/(1+Inputs!$C$10)^B17,0)</f>
        <v>0</v>
      </c>
      <c r="I17" s="36" t="n">
        <f aca="false">E17*G17*F17*H17</f>
        <v>0</v>
      </c>
    </row>
    <row r="18" customFormat="false" ht="18" hidden="false" customHeight="false" outlineLevel="0" collapsed="false"/>
    <row r="19" customFormat="false" ht="18" hidden="false" customHeight="false" outlineLevel="0" collapsed="false">
      <c r="B19" s="29" t="s">
        <v>55</v>
      </c>
      <c r="C19" s="3"/>
      <c r="D19" s="3"/>
      <c r="E19" s="37" t="n">
        <f aca="false">SUM(E8:E17)</f>
        <v>0.0960792032</v>
      </c>
      <c r="F19" s="3"/>
      <c r="G19" s="3"/>
      <c r="H19" s="3"/>
      <c r="I19" s="38" t="n">
        <f aca="false">SUM(I8:I17)</f>
        <v>30784.5355398847</v>
      </c>
    </row>
    <row r="20" customFormat="false" ht="18" hidden="false" customHeight="false" outlineLevel="0" collapsed="false"/>
    <row r="21" customFormat="false" ht="18" hidden="false" customHeight="true" outlineLevel="0" collapsed="false">
      <c r="B21" s="39" t="s">
        <v>56</v>
      </c>
      <c r="C21" s="39"/>
      <c r="D21" s="39"/>
      <c r="E21" s="39"/>
      <c r="F21" s="39"/>
      <c r="I21" s="36" t="n">
        <f aca="false">I8</f>
        <v>7407.40740740741</v>
      </c>
    </row>
    <row r="22" customFormat="false" ht="18" hidden="false" customHeight="true" outlineLevel="0" collapsed="false">
      <c r="B22" s="39" t="s">
        <v>57</v>
      </c>
      <c r="C22" s="39"/>
      <c r="D22" s="39"/>
      <c r="E22" s="39"/>
      <c r="F22" s="39"/>
      <c r="I22" s="36" t="n">
        <f aca="false">I19</f>
        <v>30784.5355398847</v>
      </c>
    </row>
    <row r="23" customFormat="false" ht="18" hidden="false" customHeight="true" outlineLevel="0" collapsed="false">
      <c r="B23" s="39" t="s">
        <v>58</v>
      </c>
      <c r="C23" s="39"/>
      <c r="D23" s="39"/>
      <c r="E23" s="39"/>
      <c r="F23" s="39"/>
      <c r="I23" s="40" t="n">
        <f aca="false">IF(Inputs!C8=0,0,I19/Inputs!C8)</f>
        <v>0.0307845355398847</v>
      </c>
    </row>
    <row r="24" customFormat="false" ht="18" hidden="false" customHeight="true" outlineLevel="0" collapsed="false">
      <c r="B24" s="39" t="s">
        <v>59</v>
      </c>
      <c r="C24" s="39"/>
      <c r="D24" s="39"/>
      <c r="E24" s="39"/>
      <c r="F24" s="39"/>
      <c r="I24" s="40" t="n">
        <f aca="false">E19</f>
        <v>0.0960792032</v>
      </c>
    </row>
    <row r="25" customFormat="false" ht="18" hidden="false" customHeight="true" outlineLevel="0" collapsed="false">
      <c r="B25" s="39" t="s">
        <v>60</v>
      </c>
      <c r="C25" s="39"/>
      <c r="D25" s="39"/>
      <c r="E25" s="39"/>
      <c r="F25" s="39"/>
      <c r="I25" s="36" t="n">
        <f aca="false">Inputs!C8*Inputs!C12</f>
        <v>400000</v>
      </c>
    </row>
    <row r="26" customFormat="false" ht="18" hidden="false" customHeight="false" outlineLevel="0" collapsed="false"/>
    <row r="27" customFormat="false" ht="18" hidden="false" customHeight="true" outlineLevel="0" collapsed="false">
      <c r="B27" s="28" t="s">
        <v>61</v>
      </c>
      <c r="C27" s="28"/>
      <c r="D27" s="28"/>
      <c r="E27" s="28"/>
      <c r="F27" s="28"/>
      <c r="G27" s="28"/>
      <c r="H27" s="28"/>
      <c r="I27" s="28"/>
    </row>
    <row r="28" customFormat="false" ht="18" hidden="false" customHeight="false" outlineLevel="0" collapsed="false">
      <c r="B28" s="28"/>
      <c r="C28" s="28"/>
      <c r="D28" s="28"/>
      <c r="E28" s="28"/>
      <c r="F28" s="28"/>
      <c r="G28" s="28"/>
      <c r="H28" s="28"/>
      <c r="I28" s="28"/>
    </row>
    <row r="29" customFormat="false" ht="18" hidden="false" customHeight="false" outlineLevel="0" collapsed="false">
      <c r="B29" s="28"/>
      <c r="C29" s="28"/>
      <c r="D29" s="28"/>
      <c r="E29" s="28"/>
      <c r="F29" s="28"/>
      <c r="G29" s="28"/>
      <c r="H29" s="28"/>
      <c r="I29" s="28"/>
    </row>
  </sheetData>
  <mergeCells count="8">
    <mergeCell ref="B2:I3"/>
    <mergeCell ref="B4:I4"/>
    <mergeCell ref="B21:F21"/>
    <mergeCell ref="B22:F22"/>
    <mergeCell ref="B23:F23"/>
    <mergeCell ref="B24:F24"/>
    <mergeCell ref="B25:F25"/>
    <mergeCell ref="B27:I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K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5" min="3" style="0" width="13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22"/>
    <col collapsed="false" customWidth="true" hidden="false" outlineLevel="0" max="9" min="9" style="0" width="9"/>
    <col collapsed="false" customWidth="true" hidden="false" outlineLevel="0" max="10" min="10" style="0" width="11"/>
    <col collapsed="false" customWidth="true" hidden="false" outlineLevel="0" max="11" min="11" style="0" width="13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62</v>
      </c>
      <c r="C2" s="18"/>
      <c r="D2" s="18"/>
      <c r="E2" s="18"/>
      <c r="F2" s="18"/>
      <c r="G2" s="18"/>
      <c r="H2" s="18"/>
      <c r="I2" s="18"/>
      <c r="J2" s="18"/>
      <c r="K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  <c r="H3" s="18"/>
      <c r="I3" s="18"/>
      <c r="J3" s="18"/>
      <c r="K3" s="18"/>
    </row>
    <row r="4" customFormat="false" ht="19.5" hidden="false" customHeight="true" outlineLevel="0" collapsed="false">
      <c r="B4" s="19" t="s">
        <v>63</v>
      </c>
      <c r="C4" s="19"/>
      <c r="D4" s="19"/>
      <c r="E4" s="19"/>
      <c r="F4" s="19"/>
      <c r="G4" s="19"/>
      <c r="H4" s="19"/>
      <c r="I4" s="19"/>
      <c r="J4" s="19"/>
      <c r="K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false" ht="18" hidden="false" customHeight="false" outlineLevel="0" collapsed="false"/>
    <row r="7" customFormat="false" ht="33.75" hidden="false" customHeight="true" outlineLevel="0" collapsed="false">
      <c r="B7" s="29" t="s">
        <v>64</v>
      </c>
      <c r="C7" s="30" t="s">
        <v>65</v>
      </c>
      <c r="D7" s="30" t="s">
        <v>66</v>
      </c>
      <c r="E7" s="30" t="s">
        <v>67</v>
      </c>
      <c r="F7" s="30" t="s">
        <v>68</v>
      </c>
      <c r="G7" s="30" t="s">
        <v>69</v>
      </c>
      <c r="H7" s="30" t="s">
        <v>70</v>
      </c>
      <c r="I7" s="30" t="s">
        <v>71</v>
      </c>
      <c r="J7" s="30" t="s">
        <v>72</v>
      </c>
      <c r="K7" s="30" t="s">
        <v>54</v>
      </c>
    </row>
    <row r="8" customFormat="false" ht="18" hidden="false" customHeight="false" outlineLevel="0" collapsed="false">
      <c r="B8" s="41" t="s">
        <v>73</v>
      </c>
      <c r="C8" s="22" t="n">
        <v>400000</v>
      </c>
      <c r="D8" s="26" t="n">
        <v>0.04</v>
      </c>
      <c r="E8" s="26" t="n">
        <v>0.045</v>
      </c>
      <c r="F8" s="26" t="n">
        <v>0.01</v>
      </c>
      <c r="G8" s="24" t="n">
        <v>0</v>
      </c>
      <c r="H8" s="42" t="str">
        <f aca="false">IF(B8="","",IF(G8&gt;Inputs!$C$18,"Default: over "&amp;Inputs!$C$18&amp;" days",IF(G8&gt;Inputs!$C$17,"Backstop: over "&amp;Inputs!$C$17&amp;" days",IF(AND(E8&gt;=D8*Inputs!$C$15,E8-D8&gt;=Inputs!$C$16),"SICR: PD up "&amp;TEXT(E8/D8,"0.0")&amp;"x","No significant increase"))))</f>
        <v>No significant increase</v>
      </c>
      <c r="I8" s="43" t="n">
        <f aca="false">IF(B8="","",IF(G8&gt;Inputs!$C$18,3,IF(OR(G8&gt;Inputs!$C$17,AND(E8&gt;=D8*Inputs!$C$15,E8-D8&gt;=Inputs!$C$16)),2,1)))</f>
        <v>1</v>
      </c>
      <c r="J8" s="32" t="n">
        <f aca="false">IF(B8="","",CHOOSE(I8,F8,E8,1))</f>
        <v>0.01</v>
      </c>
      <c r="K8" s="36" t="n">
        <f aca="false">IF(B8="",0,C8*J8*Inputs!$C$12)</f>
        <v>1600</v>
      </c>
    </row>
    <row r="9" customFormat="false" ht="18" hidden="false" customHeight="false" outlineLevel="0" collapsed="false">
      <c r="B9" s="41" t="s">
        <v>74</v>
      </c>
      <c r="C9" s="22" t="n">
        <v>250000</v>
      </c>
      <c r="D9" s="26" t="n">
        <v>0.03</v>
      </c>
      <c r="E9" s="26" t="n">
        <v>0.075</v>
      </c>
      <c r="F9" s="26" t="n">
        <v>0.02</v>
      </c>
      <c r="G9" s="24" t="n">
        <v>0</v>
      </c>
      <c r="H9" s="42" t="str">
        <f aca="false">IF(B9="","",IF(G9&gt;Inputs!$C$18,"Default: over "&amp;Inputs!$C$18&amp;" days",IF(G9&gt;Inputs!$C$17,"Backstop: over "&amp;Inputs!$C$17&amp;" days",IF(AND(E9&gt;=D9*Inputs!$C$15,E9-D9&gt;=Inputs!$C$16),"SICR: PD up "&amp;TEXT(E9/D9,"0.0")&amp;"x","No significant increase"))))</f>
        <v>SICR: PD up 2.5x</v>
      </c>
      <c r="I9" s="43" t="n">
        <f aca="false">IF(B9="","",IF(G9&gt;Inputs!$C$18,3,IF(OR(G9&gt;Inputs!$C$17,AND(E9&gt;=D9*Inputs!$C$15,E9-D9&gt;=Inputs!$C$16)),2,1)))</f>
        <v>2</v>
      </c>
      <c r="J9" s="32" t="n">
        <f aca="false">IF(B9="","",CHOOSE(I9,F9,E9,1))</f>
        <v>0.075</v>
      </c>
      <c r="K9" s="36" t="n">
        <f aca="false">IF(B9="",0,C9*J9*Inputs!$C$12)</f>
        <v>7500</v>
      </c>
    </row>
    <row r="10" customFormat="false" ht="18" hidden="false" customHeight="false" outlineLevel="0" collapsed="false">
      <c r="B10" s="41" t="s">
        <v>75</v>
      </c>
      <c r="C10" s="22" t="n">
        <v>150000</v>
      </c>
      <c r="D10" s="26" t="n">
        <v>0.005</v>
      </c>
      <c r="E10" s="26" t="n">
        <v>0.012</v>
      </c>
      <c r="F10" s="26" t="n">
        <v>0.003</v>
      </c>
      <c r="G10" s="24" t="n">
        <v>0</v>
      </c>
      <c r="H10" s="42" t="str">
        <f aca="false">IF(B10="","",IF(G10&gt;Inputs!$C$18,"Default: over "&amp;Inputs!$C$18&amp;" days",IF(G10&gt;Inputs!$C$17,"Backstop: over "&amp;Inputs!$C$17&amp;" days",IF(AND(E10&gt;=D10*Inputs!$C$15,E10-D10&gt;=Inputs!$C$16),"SICR: PD up "&amp;TEXT(E10/D10,"0.0")&amp;"x","No significant increase"))))</f>
        <v>No significant increase</v>
      </c>
      <c r="I10" s="43" t="n">
        <f aca="false">IF(B10="","",IF(G10&gt;Inputs!$C$18,3,IF(OR(G10&gt;Inputs!$C$17,AND(E10&gt;=D10*Inputs!$C$15,E10-D10&gt;=Inputs!$C$16)),2,1)))</f>
        <v>1</v>
      </c>
      <c r="J10" s="32" t="n">
        <f aca="false">IF(B10="","",CHOOSE(I10,F10,E10,1))</f>
        <v>0.003</v>
      </c>
      <c r="K10" s="36" t="n">
        <f aca="false">IF(B10="",0,C10*J10*Inputs!$C$12)</f>
        <v>180</v>
      </c>
    </row>
    <row r="11" customFormat="false" ht="18" hidden="false" customHeight="false" outlineLevel="0" collapsed="false">
      <c r="B11" s="41" t="s">
        <v>76</v>
      </c>
      <c r="C11" s="22" t="n">
        <v>100000</v>
      </c>
      <c r="D11" s="26" t="n">
        <v>0.05</v>
      </c>
      <c r="E11" s="26" t="n">
        <v>0.06</v>
      </c>
      <c r="F11" s="26" t="n">
        <v>0.015</v>
      </c>
      <c r="G11" s="24" t="n">
        <v>45</v>
      </c>
      <c r="H11" s="42" t="str">
        <f aca="false">IF(B11="","",IF(G11&gt;Inputs!$C$18,"Default: over "&amp;Inputs!$C$18&amp;" days",IF(G11&gt;Inputs!$C$17,"Backstop: over "&amp;Inputs!$C$17&amp;" days",IF(AND(E11&gt;=D11*Inputs!$C$15,E11-D11&gt;=Inputs!$C$16),"SICR: PD up "&amp;TEXT(E11/D11,"0.0")&amp;"x","No significant increase"))))</f>
        <v>Backstop: over 30 days</v>
      </c>
      <c r="I11" s="43" t="n">
        <f aca="false">IF(B11="","",IF(G11&gt;Inputs!$C$18,3,IF(OR(G11&gt;Inputs!$C$17,AND(E11&gt;=D11*Inputs!$C$15,E11-D11&gt;=Inputs!$C$16)),2,1)))</f>
        <v>2</v>
      </c>
      <c r="J11" s="32" t="n">
        <f aca="false">IF(B11="","",CHOOSE(I11,F11,E11,1))</f>
        <v>0.06</v>
      </c>
      <c r="K11" s="36" t="n">
        <f aca="false">IF(B11="",0,C11*J11*Inputs!$C$12)</f>
        <v>2400</v>
      </c>
    </row>
    <row r="12" customFormat="false" ht="18" hidden="false" customHeight="false" outlineLevel="0" collapsed="false">
      <c r="B12" s="41" t="s">
        <v>77</v>
      </c>
      <c r="C12" s="22" t="n">
        <v>60000</v>
      </c>
      <c r="D12" s="26" t="n">
        <v>0.06</v>
      </c>
      <c r="E12" s="26" t="n">
        <v>0.2</v>
      </c>
      <c r="F12" s="26" t="n">
        <v>0.08</v>
      </c>
      <c r="G12" s="24" t="n">
        <v>120</v>
      </c>
      <c r="H12" s="42" t="str">
        <f aca="false">IF(B12="","",IF(G12&gt;Inputs!$C$18,"Default: over "&amp;Inputs!$C$18&amp;" days",IF(G12&gt;Inputs!$C$17,"Backstop: over "&amp;Inputs!$C$17&amp;" days",IF(AND(E12&gt;=D12*Inputs!$C$15,E12-D12&gt;=Inputs!$C$16),"SICR: PD up "&amp;TEXT(E12/D12,"0.0")&amp;"x","No significant increase"))))</f>
        <v>Default: over 90 days</v>
      </c>
      <c r="I12" s="43" t="n">
        <f aca="false">IF(B12="","",IF(G12&gt;Inputs!$C$18,3,IF(OR(G12&gt;Inputs!$C$17,AND(E12&gt;=D12*Inputs!$C$15,E12-D12&gt;=Inputs!$C$16)),2,1)))</f>
        <v>3</v>
      </c>
      <c r="J12" s="32" t="n">
        <f aca="false">IF(B12="","",CHOOSE(I12,F12,E12,1))</f>
        <v>1</v>
      </c>
      <c r="K12" s="36" t="n">
        <f aca="false">IF(B12="",0,C12*J12*Inputs!$C$12)</f>
        <v>24000</v>
      </c>
    </row>
    <row r="13" customFormat="false" ht="18" hidden="false" customHeight="false" outlineLevel="0" collapsed="false">
      <c r="B13" s="41" t="s">
        <v>78</v>
      </c>
      <c r="C13" s="22" t="n">
        <v>40000</v>
      </c>
      <c r="D13" s="26" t="n">
        <v>0.02</v>
      </c>
      <c r="E13" s="26" t="n">
        <v>0.025</v>
      </c>
      <c r="F13" s="26" t="n">
        <v>0.006</v>
      </c>
      <c r="G13" s="24" t="n">
        <v>10</v>
      </c>
      <c r="H13" s="42" t="str">
        <f aca="false">IF(B13="","",IF(G13&gt;Inputs!$C$18,"Default: over "&amp;Inputs!$C$18&amp;" days",IF(G13&gt;Inputs!$C$17,"Backstop: over "&amp;Inputs!$C$17&amp;" days",IF(AND(E13&gt;=D13*Inputs!$C$15,E13-D13&gt;=Inputs!$C$16),"SICR: PD up "&amp;TEXT(E13/D13,"0.0")&amp;"x","No significant increase"))))</f>
        <v>No significant increase</v>
      </c>
      <c r="I13" s="43" t="n">
        <f aca="false">IF(B13="","",IF(G13&gt;Inputs!$C$18,3,IF(OR(G13&gt;Inputs!$C$17,AND(E13&gt;=D13*Inputs!$C$15,E13-D13&gt;=Inputs!$C$16)),2,1)))</f>
        <v>1</v>
      </c>
      <c r="J13" s="32" t="n">
        <f aca="false">IF(B13="","",CHOOSE(I13,F13,E13,1))</f>
        <v>0.006</v>
      </c>
      <c r="K13" s="36" t="n">
        <f aca="false">IF(B13="",0,C13*J13*Inputs!$C$12)</f>
        <v>96</v>
      </c>
    </row>
    <row r="14" customFormat="false" ht="18" hidden="false" customHeight="false" outlineLevel="0" collapsed="false">
      <c r="B14" s="41"/>
      <c r="C14" s="22"/>
      <c r="D14" s="26"/>
      <c r="E14" s="26"/>
      <c r="F14" s="26"/>
      <c r="G14" s="24"/>
      <c r="H14" s="42" t="str">
        <f aca="false">IF(B14="","",IF(G14&gt;Inputs!$C$18,"Default: over "&amp;Inputs!$C$18&amp;" days",IF(G14&gt;Inputs!$C$17,"Backstop: over "&amp;Inputs!$C$17&amp;" days",IF(AND(E14&gt;=D14*Inputs!$C$15,E14-D14&gt;=Inputs!$C$16),"SICR: PD up "&amp;TEXT(E14/D14,"0.0")&amp;"x","No significant increase"))))</f>
        <v/>
      </c>
      <c r="I14" s="43" t="str">
        <f aca="false">IF(B14="","",IF(G14&gt;Inputs!$C$18,3,IF(OR(G14&gt;Inputs!$C$17,AND(E14&gt;=D14*Inputs!$C$15,E14-D14&gt;=Inputs!$C$16)),2,1)))</f>
        <v/>
      </c>
      <c r="J14" s="32" t="str">
        <f aca="false">IF(B14="","",CHOOSE(I14,F14,E14,1))</f>
        <v/>
      </c>
      <c r="K14" s="36" t="n">
        <f aca="false">IF(B14="",0,C14*J14*Inputs!$C$12)</f>
        <v>0</v>
      </c>
    </row>
    <row r="15" customFormat="false" ht="18" hidden="false" customHeight="false" outlineLevel="0" collapsed="false">
      <c r="B15" s="41"/>
      <c r="C15" s="22"/>
      <c r="D15" s="26"/>
      <c r="E15" s="26"/>
      <c r="F15" s="26"/>
      <c r="G15" s="24"/>
      <c r="H15" s="42" t="str">
        <f aca="false">IF(B15="","",IF(G15&gt;Inputs!$C$18,"Default: over "&amp;Inputs!$C$18&amp;" days",IF(G15&gt;Inputs!$C$17,"Backstop: over "&amp;Inputs!$C$17&amp;" days",IF(AND(E15&gt;=D15*Inputs!$C$15,E15-D15&gt;=Inputs!$C$16),"SICR: PD up "&amp;TEXT(E15/D15,"0.0")&amp;"x","No significant increase"))))</f>
        <v/>
      </c>
      <c r="I15" s="43" t="str">
        <f aca="false">IF(B15="","",IF(G15&gt;Inputs!$C$18,3,IF(OR(G15&gt;Inputs!$C$17,AND(E15&gt;=D15*Inputs!$C$15,E15-D15&gt;=Inputs!$C$16)),2,1)))</f>
        <v/>
      </c>
      <c r="J15" s="32" t="str">
        <f aca="false">IF(B15="","",CHOOSE(I15,F15,E15,1))</f>
        <v/>
      </c>
      <c r="K15" s="36" t="n">
        <f aca="false">IF(B15="",0,C15*J15*Inputs!$C$12)</f>
        <v>0</v>
      </c>
    </row>
    <row r="16" customFormat="false" ht="18" hidden="false" customHeight="false" outlineLevel="0" collapsed="false">
      <c r="B16" s="41"/>
      <c r="C16" s="22"/>
      <c r="D16" s="26"/>
      <c r="E16" s="26"/>
      <c r="F16" s="26"/>
      <c r="G16" s="24"/>
      <c r="H16" s="42" t="str">
        <f aca="false">IF(B16="","",IF(G16&gt;Inputs!$C$18,"Default: over "&amp;Inputs!$C$18&amp;" days",IF(G16&gt;Inputs!$C$17,"Backstop: over "&amp;Inputs!$C$17&amp;" days",IF(AND(E16&gt;=D16*Inputs!$C$15,E16-D16&gt;=Inputs!$C$16),"SICR: PD up "&amp;TEXT(E16/D16,"0.0")&amp;"x","No significant increase"))))</f>
        <v/>
      </c>
      <c r="I16" s="43" t="str">
        <f aca="false">IF(B16="","",IF(G16&gt;Inputs!$C$18,3,IF(OR(G16&gt;Inputs!$C$17,AND(E16&gt;=D16*Inputs!$C$15,E16-D16&gt;=Inputs!$C$16)),2,1)))</f>
        <v/>
      </c>
      <c r="J16" s="32" t="str">
        <f aca="false">IF(B16="","",CHOOSE(I16,F16,E16,1))</f>
        <v/>
      </c>
      <c r="K16" s="36" t="n">
        <f aca="false">IF(B16="",0,C16*J16*Inputs!$C$12)</f>
        <v>0</v>
      </c>
    </row>
    <row r="17" customFormat="false" ht="18" hidden="false" customHeight="false" outlineLevel="0" collapsed="false">
      <c r="B17" s="41"/>
      <c r="C17" s="22"/>
      <c r="D17" s="26"/>
      <c r="E17" s="26"/>
      <c r="F17" s="26"/>
      <c r="G17" s="24"/>
      <c r="H17" s="42" t="str">
        <f aca="false">IF(B17="","",IF(G17&gt;Inputs!$C$18,"Default: over "&amp;Inputs!$C$18&amp;" days",IF(G17&gt;Inputs!$C$17,"Backstop: over "&amp;Inputs!$C$17&amp;" days",IF(AND(E17&gt;=D17*Inputs!$C$15,E17-D17&gt;=Inputs!$C$16),"SICR: PD up "&amp;TEXT(E17/D17,"0.0")&amp;"x","No significant increase"))))</f>
        <v/>
      </c>
      <c r="I17" s="43" t="str">
        <f aca="false">IF(B17="","",IF(G17&gt;Inputs!$C$18,3,IF(OR(G17&gt;Inputs!$C$17,AND(E17&gt;=D17*Inputs!$C$15,E17-D17&gt;=Inputs!$C$16)),2,1)))</f>
        <v/>
      </c>
      <c r="J17" s="32" t="str">
        <f aca="false">IF(B17="","",CHOOSE(I17,F17,E17,1))</f>
        <v/>
      </c>
      <c r="K17" s="36" t="n">
        <f aca="false">IF(B17="",0,C17*J17*Inputs!$C$12)</f>
        <v>0</v>
      </c>
    </row>
    <row r="18" customFormat="false" ht="18" hidden="false" customHeight="false" outlineLevel="0" collapsed="false">
      <c r="B18" s="41"/>
      <c r="C18" s="22"/>
      <c r="D18" s="26"/>
      <c r="E18" s="26"/>
      <c r="F18" s="26"/>
      <c r="G18" s="24"/>
      <c r="H18" s="42" t="str">
        <f aca="false">IF(B18="","",IF(G18&gt;Inputs!$C$18,"Default: over "&amp;Inputs!$C$18&amp;" days",IF(G18&gt;Inputs!$C$17,"Backstop: over "&amp;Inputs!$C$17&amp;" days",IF(AND(E18&gt;=D18*Inputs!$C$15,E18-D18&gt;=Inputs!$C$16),"SICR: PD up "&amp;TEXT(E18/D18,"0.0")&amp;"x","No significant increase"))))</f>
        <v/>
      </c>
      <c r="I18" s="43" t="str">
        <f aca="false">IF(B18="","",IF(G18&gt;Inputs!$C$18,3,IF(OR(G18&gt;Inputs!$C$17,AND(E18&gt;=D18*Inputs!$C$15,E18-D18&gt;=Inputs!$C$16)),2,1)))</f>
        <v/>
      </c>
      <c r="J18" s="32" t="str">
        <f aca="false">IF(B18="","",CHOOSE(I18,F18,E18,1))</f>
        <v/>
      </c>
      <c r="K18" s="36" t="n">
        <f aca="false">IF(B18="",0,C18*J18*Inputs!$C$12)</f>
        <v>0</v>
      </c>
    </row>
    <row r="19" customFormat="false" ht="18" hidden="false" customHeight="false" outlineLevel="0" collapsed="false">
      <c r="B19" s="41"/>
      <c r="C19" s="22"/>
      <c r="D19" s="26"/>
      <c r="E19" s="26"/>
      <c r="F19" s="26"/>
      <c r="G19" s="24"/>
      <c r="H19" s="42" t="str">
        <f aca="false">IF(B19="","",IF(G19&gt;Inputs!$C$18,"Default: over "&amp;Inputs!$C$18&amp;" days",IF(G19&gt;Inputs!$C$17,"Backstop: over "&amp;Inputs!$C$17&amp;" days",IF(AND(E19&gt;=D19*Inputs!$C$15,E19-D19&gt;=Inputs!$C$16),"SICR: PD up "&amp;TEXT(E19/D19,"0.0")&amp;"x","No significant increase"))))</f>
        <v/>
      </c>
      <c r="I19" s="43" t="str">
        <f aca="false">IF(B19="","",IF(G19&gt;Inputs!$C$18,3,IF(OR(G19&gt;Inputs!$C$17,AND(E19&gt;=D19*Inputs!$C$15,E19-D19&gt;=Inputs!$C$16)),2,1)))</f>
        <v/>
      </c>
      <c r="J19" s="32" t="str">
        <f aca="false">IF(B19="","",CHOOSE(I19,F19,E19,1))</f>
        <v/>
      </c>
      <c r="K19" s="36" t="n">
        <f aca="false">IF(B19="",0,C19*J19*Inputs!$C$12)</f>
        <v>0</v>
      </c>
    </row>
    <row r="20" customFormat="false" ht="18" hidden="false" customHeight="false" outlineLevel="0" collapsed="false">
      <c r="B20" s="41"/>
      <c r="C20" s="22"/>
      <c r="D20" s="26"/>
      <c r="E20" s="26"/>
      <c r="F20" s="26"/>
      <c r="G20" s="24"/>
      <c r="H20" s="42" t="str">
        <f aca="false">IF(B20="","",IF(G20&gt;Inputs!$C$18,"Default: over "&amp;Inputs!$C$18&amp;" days",IF(G20&gt;Inputs!$C$17,"Backstop: over "&amp;Inputs!$C$17&amp;" days",IF(AND(E20&gt;=D20*Inputs!$C$15,E20-D20&gt;=Inputs!$C$16),"SICR: PD up "&amp;TEXT(E20/D20,"0.0")&amp;"x","No significant increase"))))</f>
        <v/>
      </c>
      <c r="I20" s="43" t="str">
        <f aca="false">IF(B20="","",IF(G20&gt;Inputs!$C$18,3,IF(OR(G20&gt;Inputs!$C$17,AND(E20&gt;=D20*Inputs!$C$15,E20-D20&gt;=Inputs!$C$16)),2,1)))</f>
        <v/>
      </c>
      <c r="J20" s="32" t="str">
        <f aca="false">IF(B20="","",CHOOSE(I20,F20,E20,1))</f>
        <v/>
      </c>
      <c r="K20" s="36" t="n">
        <f aca="false">IF(B20="",0,C20*J20*Inputs!$C$12)</f>
        <v>0</v>
      </c>
    </row>
    <row r="21" customFormat="false" ht="18" hidden="false" customHeight="false" outlineLevel="0" collapsed="false">
      <c r="B21" s="41"/>
      <c r="C21" s="22"/>
      <c r="D21" s="26"/>
      <c r="E21" s="26"/>
      <c r="F21" s="26"/>
      <c r="G21" s="24"/>
      <c r="H21" s="42" t="str">
        <f aca="false">IF(B21="","",IF(G21&gt;Inputs!$C$18,"Default: over "&amp;Inputs!$C$18&amp;" days",IF(G21&gt;Inputs!$C$17,"Backstop: over "&amp;Inputs!$C$17&amp;" days",IF(AND(E21&gt;=D21*Inputs!$C$15,E21-D21&gt;=Inputs!$C$16),"SICR: PD up "&amp;TEXT(E21/D21,"0.0")&amp;"x","No significant increase"))))</f>
        <v/>
      </c>
      <c r="I21" s="43" t="str">
        <f aca="false">IF(B21="","",IF(G21&gt;Inputs!$C$18,3,IF(OR(G21&gt;Inputs!$C$17,AND(E21&gt;=D21*Inputs!$C$15,E21-D21&gt;=Inputs!$C$16)),2,1)))</f>
        <v/>
      </c>
      <c r="J21" s="32" t="str">
        <f aca="false">IF(B21="","",CHOOSE(I21,F21,E21,1))</f>
        <v/>
      </c>
      <c r="K21" s="36" t="n">
        <f aca="false">IF(B21="",0,C21*J21*Inputs!$C$12)</f>
        <v>0</v>
      </c>
    </row>
    <row r="22" customFormat="false" ht="18" hidden="false" customHeight="false" outlineLevel="0" collapsed="false">
      <c r="B22" s="41"/>
      <c r="C22" s="22"/>
      <c r="D22" s="26"/>
      <c r="E22" s="26"/>
      <c r="F22" s="26"/>
      <c r="G22" s="24"/>
      <c r="H22" s="42" t="str">
        <f aca="false">IF(B22="","",IF(G22&gt;Inputs!$C$18,"Default: over "&amp;Inputs!$C$18&amp;" days",IF(G22&gt;Inputs!$C$17,"Backstop: over "&amp;Inputs!$C$17&amp;" days",IF(AND(E22&gt;=D22*Inputs!$C$15,E22-D22&gt;=Inputs!$C$16),"SICR: PD up "&amp;TEXT(E22/D22,"0.0")&amp;"x","No significant increase"))))</f>
        <v/>
      </c>
      <c r="I22" s="43" t="str">
        <f aca="false">IF(B22="","",IF(G22&gt;Inputs!$C$18,3,IF(OR(G22&gt;Inputs!$C$17,AND(E22&gt;=D22*Inputs!$C$15,E22-D22&gt;=Inputs!$C$16)),2,1)))</f>
        <v/>
      </c>
      <c r="J22" s="32" t="str">
        <f aca="false">IF(B22="","",CHOOSE(I22,F22,E22,1))</f>
        <v/>
      </c>
      <c r="K22" s="36" t="n">
        <f aca="false">IF(B22="",0,C22*J22*Inputs!$C$12)</f>
        <v>0</v>
      </c>
    </row>
    <row r="23" customFormat="false" ht="18" hidden="false" customHeight="false" outlineLevel="0" collapsed="false"/>
    <row r="24" customFormat="false" ht="33.75" hidden="false" customHeight="true" outlineLevel="0" collapsed="false">
      <c r="B24" s="29" t="s">
        <v>71</v>
      </c>
      <c r="C24" s="30" t="s">
        <v>79</v>
      </c>
      <c r="D24" s="30" t="s">
        <v>65</v>
      </c>
      <c r="E24" s="30" t="s">
        <v>54</v>
      </c>
      <c r="F24" s="30" t="s">
        <v>80</v>
      </c>
    </row>
    <row r="25" customFormat="false" ht="18" hidden="false" customHeight="false" outlineLevel="0" collapsed="false">
      <c r="B25" s="44" t="s">
        <v>81</v>
      </c>
      <c r="C25" s="45" t="n">
        <f aca="false">COUNTIF($I$8:$I$22,1)</f>
        <v>3</v>
      </c>
      <c r="D25" s="33" t="n">
        <f aca="false">SUMIF($I$8:$I$22,1,$C$8:$C$22)</f>
        <v>590000</v>
      </c>
      <c r="E25" s="33" t="n">
        <f aca="false">SUMIF($I$8:$I$22,1,$K$8:$K$22)</f>
        <v>1876</v>
      </c>
      <c r="F25" s="32" t="n">
        <f aca="false">IF(D25=0,0,E25/D25)</f>
        <v>0.00317966101694915</v>
      </c>
    </row>
    <row r="26" customFormat="false" ht="18" hidden="false" customHeight="false" outlineLevel="0" collapsed="false">
      <c r="B26" s="44" t="s">
        <v>82</v>
      </c>
      <c r="C26" s="45" t="n">
        <f aca="false">COUNTIF($I$8:$I$22,2)</f>
        <v>2</v>
      </c>
      <c r="D26" s="33" t="n">
        <f aca="false">SUMIF($I$8:$I$22,2,$C$8:$C$22)</f>
        <v>350000</v>
      </c>
      <c r="E26" s="33" t="n">
        <f aca="false">SUMIF($I$8:$I$22,2,$K$8:$K$22)</f>
        <v>9900</v>
      </c>
      <c r="F26" s="32" t="n">
        <f aca="false">IF(D26=0,0,E26/D26)</f>
        <v>0.0282857142857143</v>
      </c>
    </row>
    <row r="27" customFormat="false" ht="18" hidden="false" customHeight="false" outlineLevel="0" collapsed="false">
      <c r="B27" s="44" t="s">
        <v>83</v>
      </c>
      <c r="C27" s="45" t="n">
        <f aca="false">COUNTIF($I$8:$I$22,3)</f>
        <v>1</v>
      </c>
      <c r="D27" s="33" t="n">
        <f aca="false">SUMIF($I$8:$I$22,3,$C$8:$C$22)</f>
        <v>60000</v>
      </c>
      <c r="E27" s="33" t="n">
        <f aca="false">SUMIF($I$8:$I$22,3,$K$8:$K$22)</f>
        <v>24000</v>
      </c>
      <c r="F27" s="32" t="n">
        <f aca="false">IF(D27=0,0,E27/D27)</f>
        <v>0.4</v>
      </c>
    </row>
    <row r="28" customFormat="false" ht="18" hidden="false" customHeight="false" outlineLevel="0" collapsed="false">
      <c r="B28" s="29" t="s">
        <v>84</v>
      </c>
      <c r="C28" s="46" t="n">
        <f aca="false">SUM(C25:C27)</f>
        <v>6</v>
      </c>
      <c r="D28" s="38" t="n">
        <f aca="false">SUM(D25:D27)</f>
        <v>1000000</v>
      </c>
      <c r="E28" s="38" t="n">
        <f aca="false">SUM(E25:E27)</f>
        <v>35776</v>
      </c>
      <c r="F28" s="37" t="n">
        <f aca="false">IF(D28=0,0,E28/D28)</f>
        <v>0.035776</v>
      </c>
    </row>
    <row r="29" customFormat="false" ht="18" hidden="false" customHeight="false" outlineLevel="0" collapsed="false"/>
    <row r="30" customFormat="false" ht="18" hidden="false" customHeight="true" outlineLevel="0" collapsed="false">
      <c r="B30" s="47" t="s">
        <v>85</v>
      </c>
      <c r="C30" s="47"/>
      <c r="D30" s="47"/>
      <c r="E30" s="48" t="str">
        <f aca="false">IF(C28=COUNTA(B8:B22),"✓ All staged","✗ Check inputs")</f>
        <v>✓ All staged</v>
      </c>
    </row>
    <row r="31" customFormat="false" ht="18" hidden="false" customHeight="false" outlineLevel="0" collapsed="false"/>
    <row r="32" customFormat="false" ht="18" hidden="false" customHeight="true" outlineLevel="0" collapsed="false">
      <c r="B32" s="28" t="s">
        <v>86</v>
      </c>
      <c r="C32" s="28"/>
      <c r="D32" s="28"/>
      <c r="E32" s="28"/>
      <c r="F32" s="28"/>
      <c r="G32" s="28"/>
      <c r="H32" s="28"/>
      <c r="I32" s="28"/>
      <c r="J32" s="28"/>
      <c r="K32" s="28"/>
    </row>
    <row r="33" customFormat="false" ht="18" hidden="false" customHeight="false" outlineLevel="0" collapsed="false">
      <c r="B33" s="28"/>
      <c r="C33" s="28"/>
      <c r="D33" s="28"/>
      <c r="E33" s="28"/>
      <c r="F33" s="28"/>
      <c r="G33" s="28"/>
      <c r="H33" s="28"/>
      <c r="I33" s="28"/>
      <c r="J33" s="28"/>
      <c r="K33" s="28"/>
    </row>
    <row r="34" customFormat="false" ht="18" hidden="false" customHeight="false" outlineLevel="0" collapsed="false">
      <c r="B34" s="28"/>
      <c r="C34" s="28"/>
      <c r="D34" s="28"/>
      <c r="E34" s="28"/>
      <c r="F34" s="28"/>
      <c r="G34" s="28"/>
      <c r="H34" s="28"/>
      <c r="I34" s="28"/>
      <c r="J34" s="28"/>
      <c r="K34" s="28"/>
    </row>
  </sheetData>
  <mergeCells count="4">
    <mergeCell ref="B2:K3"/>
    <mergeCell ref="B4:K4"/>
    <mergeCell ref="B30:D30"/>
    <mergeCell ref="B32:K34"/>
  </mergeCells>
  <conditionalFormatting sqref="E30">
    <cfRule type="expression" priority="2" aboveAverage="0" equalAverage="0" bottom="0" percent="0" rank="0" text="" dxfId="0">
      <formula>LEFT(E30,1)="✓"</formula>
    </cfRule>
    <cfRule type="expression" priority="3" aboveAverage="0" equalAverage="0" bottom="0" percent="0" rank="0" text="" dxfId="1">
      <formula>LEFT(E30,1)&lt;&gt;"✓"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2026-10-04T13:26:34Z</dcterms:created>
  <dc:creator>openpyxl</dc:creator>
  <dc:description/>
  <dc:language>en-US</dc:language>
  <cp:lastModifiedBy/>
  <dcterms:modified xsi:type="dcterms:W3CDTF">2026-10-04T13:26:35Z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