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" sheetId="1" state="visible" r:id="rId3"/>
    <sheet name="Amortising EAD" sheetId="2" state="visible" r:id="rId4"/>
    <sheet name="CCF" sheetId="3" state="visible" r:id="rId5"/>
    <sheet name="CCF from history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<sst xmlns="http://schemas.openxmlformats.org/spreadsheetml/2006/main" count="70" uniqueCount="69">
  <si>
    <t xml:space="preserve">EAD and CCF calculator</t>
  </si>
  <si>
    <t xml:space="preserve">IFRS 9: exposure at default for amortising loans with prepayments, and for revolving facilities using credit conversion factors</t>
  </si>
  <si>
    <t xml:space="preserve">HOW IT WORKS</t>
  </si>
  <si>
    <t xml:space="preserve">Amortising loans</t>
  </si>
  <si>
    <t xml:space="preserve">Revolving facilities</t>
  </si>
  <si>
    <t xml:space="preserve">Estimate the CCF</t>
  </si>
  <si>
    <t xml:space="preserve">EAD by year and lifetime ECL</t>
  </si>
  <si>
    <t xml:space="preserve">Drawn + CCF x undrawn</t>
  </si>
  <si>
    <t xml:space="preserve">From defaulted facilities</t>
  </si>
  <si>
    <t xml:space="preserve">LIVE RESULTS</t>
  </si>
  <si>
    <t xml:space="preserve">Lifetime ECL, amortising</t>
  </si>
  <si>
    <t xml:space="preserve">Lifetime ECL if bullet</t>
  </si>
  <si>
    <t xml:space="preserve">Facility EAD</t>
  </si>
  <si>
    <t xml:space="preserve">Historical CCF</t>
  </si>
  <si>
    <t xml:space="preserve">COLOUR KEY</t>
  </si>
  <si>
    <t xml:space="preserve">You type here</t>
  </si>
  <si>
    <t xml:space="preserve">Calculated for you</t>
  </si>
  <si>
    <t xml:space="preserve">✓ Check passed</t>
  </si>
  <si>
    <t xml:space="preserve">✗ Needs attention</t>
  </si>
  <si>
    <t xml:space="preserve">JUMP TO</t>
  </si>
  <si>
    <t xml:space="preserve">Amortising EAD  ›</t>
  </si>
  <si>
    <t xml:space="preserve">CCF  ›</t>
  </si>
  <si>
    <t xml:space="preserve">CCF from history  ›</t>
  </si>
  <si>
    <t xml:space="preserve">Example: Northline Telecom, a fictional company, in CU million. Replace the figures with your own. General information, not advice. taxbakers.com/ifrs-18</t>
  </si>
  <si>
    <t xml:space="preserve">Amortising EAD</t>
  </si>
  <si>
    <t xml:space="preserve">EAD falls as a loan is repaid and as some borrowers prepay. Lifetime ECL uses the expected exposure in each year.</t>
  </si>
  <si>
    <t xml:space="preserve">Loan amount</t>
  </si>
  <si>
    <t xml:space="preserve">Interest rate (annual, also the discount rate)</t>
  </si>
  <si>
    <t xml:space="preserve">Term in years (1 to 10)</t>
  </si>
  <si>
    <t xml:space="preserve">Annual prepayment rate</t>
  </si>
  <si>
    <t xml:space="preserve">Annual PD, conditional on survival</t>
  </si>
  <si>
    <t xml:space="preserve">LGD</t>
  </si>
  <si>
    <t xml:space="preserve">Annual payment (annuity)</t>
  </si>
  <si>
    <t xml:space="preserve">Year</t>
  </si>
  <si>
    <t xml:space="preserve">Scheduled balance at start</t>
  </si>
  <si>
    <t xml:space="preserve">Expected EAD</t>
  </si>
  <si>
    <t xml:space="preserve">Marginal PD</t>
  </si>
  <si>
    <t xml:space="preserve">Discount factor</t>
  </si>
  <si>
    <t xml:space="preserve">ECL, amortising</t>
  </si>
  <si>
    <t xml:space="preserve">ECL if bullet</t>
  </si>
  <si>
    <t xml:space="preserve">Lifetime ECL</t>
  </si>
  <si>
    <t xml:space="preserve">Reduction from modelling the falling exposure</t>
  </si>
  <si>
    <t xml:space="preserve">Scheduled balance follows the annuity schedule; expected EAD also allows for prepayments. Accrued interest at default would add to EAD; it is left out here for simplicity.</t>
  </si>
  <si>
    <t xml:space="preserve">CCF</t>
  </si>
  <si>
    <t xml:space="preserve">For a revolving facility, EAD = drawn balance + credit conversion factor x undrawn limit.</t>
  </si>
  <si>
    <t xml:space="preserve">Facility limit</t>
  </si>
  <si>
    <t xml:space="preserve">Drawn today</t>
  </si>
  <si>
    <t xml:space="preserve">Credit conversion factor (share of the undrawn amount drawn by default)</t>
  </si>
  <si>
    <t xml:space="preserve">12-month PD</t>
  </si>
  <si>
    <t xml:space="preserve">Undrawn amount</t>
  </si>
  <si>
    <t xml:space="preserve">Exposure at default</t>
  </si>
  <si>
    <t xml:space="preserve">12-month ECL</t>
  </si>
  <si>
    <t xml:space="preserve">ECL on the drawn balance (deducted from the asset)</t>
  </si>
  <si>
    <t xml:space="preserve">ECL on the undrawn commitment (a provision)</t>
  </si>
  <si>
    <t xml:space="preserve">If the ECL on the undrawn part cannot be identified separately, IFRS 7 allows it to be shown with the drawn loan's allowance, with any excess over the gross carrying amount presented as a provision. The split here is pro rata to exposure.</t>
  </si>
  <si>
    <t xml:space="preserve">CCF from history</t>
  </si>
  <si>
    <t xml:space="preserve">Realised CCF for each defaulted facility = (drawn at default - drawn 12 months before) / (limit - drawn 12 months before).</t>
  </si>
  <si>
    <t xml:space="preserve">Facility</t>
  </si>
  <si>
    <t xml:space="preserve">Limit</t>
  </si>
  <si>
    <t xml:space="preserve">Drawn 12 months before</t>
  </si>
  <si>
    <t xml:space="preserve">Drawn at default</t>
  </si>
  <si>
    <t xml:space="preserve">Realised CCF</t>
  </si>
  <si>
    <t xml:space="preserve">F-01</t>
  </si>
  <si>
    <t xml:space="preserve">F-02</t>
  </si>
  <si>
    <t xml:space="preserve">F-03</t>
  </si>
  <si>
    <t xml:space="preserve">F-04</t>
  </si>
  <si>
    <t xml:space="preserve">F-05</t>
  </si>
  <si>
    <t xml:space="preserve">Average realised CCF</t>
  </si>
  <si>
    <t xml:space="preserve">Undrawn-weighted CCF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</si>
</sst>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#,##0"/>
    <numFmt numFmtId="166" formatCode="0%"/>
    <numFmt numFmtId="167" formatCode="#,##0;\(#,##0\);;"/>
    <numFmt numFmtId="168" formatCode="0.0%;\(0.0%\);;"/>
    <numFmt numFmtId="169" formatCode="0"/>
    <numFmt numFmtId="170" formatCode="0.00%"/>
    <numFmt numFmtId="171" formatCode="0.000%"/>
    <numFmt numFmtId="172" formatCode="0.0000"/>
  </numFmts>
  <fonts count="2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FFFFFF"/>
      <name val="Arial"/>
      <family val="0"/>
      <charset val="1"/>
    </font>
    <font>
      <sz val="11"/>
      <color rgb="FFCFE0E3"/>
      <name val="Arial"/>
      <family val="0"/>
      <charset val="1"/>
    </font>
    <font>
      <b val="true"/>
      <sz val="9"/>
      <color rgb="FF86BC25"/>
      <name val="Arial"/>
      <family val="0"/>
      <charset val="1"/>
    </font>
    <font>
      <b val="true"/>
      <sz val="28"/>
      <color rgb="FF86BC25"/>
      <name val="Arial"/>
      <family val="0"/>
      <charset val="1"/>
    </font>
    <font>
      <b val="true"/>
      <sz val="12"/>
      <color rgb="FF0E3D4A"/>
      <name val="Arial"/>
      <family val="0"/>
      <charset val="1"/>
    </font>
    <font>
      <sz val="9"/>
      <color rgb="FF6B7A80"/>
      <name val="Arial"/>
      <family val="0"/>
      <charset val="1"/>
    </font>
    <font>
      <b val="true"/>
      <sz val="20"/>
      <color rgb="FF0E3D4A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0E3D4A"/>
      <name val="Arial"/>
      <family val="0"/>
      <charset val="1"/>
    </font>
    <font>
      <b val="true"/>
      <sz val="10"/>
      <color rgb="FF2E6B12"/>
      <name val="Arial"/>
      <family val="0"/>
      <charset val="1"/>
    </font>
    <font>
      <b val="true"/>
      <sz val="10"/>
      <color rgb="FFA12B1E"/>
      <name val="Arial"/>
      <family val="0"/>
      <charset val="1"/>
    </font>
    <font>
      <b val="true"/>
      <sz val="11"/>
      <color rgb="FF0E3D4A"/>
      <name val="Arial"/>
      <family val="0"/>
      <charset val="1"/>
    </font>
    <font>
      <sz val="8"/>
      <color rgb="FF6B7A80"/>
      <name val="Arial"/>
      <family val="0"/>
      <charset val="1"/>
    </font>
    <font>
      <b val="true"/>
      <sz val="16"/>
      <color rgb="FFFFFFFF"/>
      <name val="Arial"/>
      <family val="0"/>
      <charset val="1"/>
    </font>
    <font>
      <sz val="10"/>
      <color rgb="FFCFE0E3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sz val="10"/>
      <color rgb="FF0E3D4A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0E3D4A"/>
        <bgColor rgb="FF333333"/>
      </patternFill>
    </fill>
    <fill>
      <patternFill patternType="solid">
        <fgColor rgb="FF86BC25"/>
        <bgColor rgb="FF808000"/>
      </patternFill>
    </fill>
    <fill>
      <patternFill patternType="solid">
        <fgColor rgb="FFF3F5F0"/>
        <bgColor rgb="FFFFFFFF"/>
      </patternFill>
    </fill>
    <fill>
      <patternFill patternType="solid">
        <fgColor rgb="FFFFFFFF"/>
        <bgColor rgb="FFF3F5F0"/>
      </patternFill>
    </fill>
    <fill>
      <patternFill patternType="solid">
        <fgColor rgb="FFFFF4C2"/>
        <bgColor rgb="FFFFFF99"/>
      </patternFill>
    </fill>
    <fill>
      <patternFill patternType="solid">
        <fgColor rgb="FFDFF0D0"/>
        <bgColor rgb="FFF3F5F0"/>
      </patternFill>
    </fill>
    <fill>
      <patternFill patternType="solid">
        <fgColor rgb="FFF8D7D2"/>
        <bgColor rgb="FFD9D9D9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>
        <color rgb="FFD5DBD8"/>
      </left>
      <right/>
      <top style="thin">
        <color rgb="FFD5DBD8"/>
      </top>
      <bottom style="thin">
        <color rgb="FFD5DBD8"/>
      </bottom>
      <diagonal/>
    </border>
    <border diagonalUp="false" diagonalDown="false">
      <left/>
      <right style="thin">
        <color rgb="FFD5DBD8"/>
      </right>
      <top style="thin">
        <color rgb="FFD5DBD8"/>
      </top>
      <bottom/>
      <diagonal/>
    </border>
    <border diagonalUp="false" diagonalDown="false">
      <left/>
      <right style="thin">
        <color rgb="FFD5DBD8"/>
      </right>
      <top/>
      <bottom style="thin">
        <color rgb="FFD5DBD8"/>
      </bottom>
      <diagonal/>
    </border>
    <border diagonalUp="false" diagonalDown="false">
      <left style="thin">
        <color rgb="FFD5DBD8"/>
      </left>
      <right style="thin">
        <color rgb="FFD5DBD8"/>
      </right>
      <top style="medium">
        <color rgb="FF0E3D4A"/>
      </top>
      <bottom/>
      <diagonal/>
    </border>
    <border diagonalUp="false" diagonalDown="false">
      <left style="thin">
        <color rgb="FFD5DBD8"/>
      </left>
      <right style="thin">
        <color rgb="FFD5DBD8"/>
      </right>
      <top/>
      <bottom style="thin">
        <color rgb="FFD5DBD8"/>
      </bottom>
      <diagonal/>
    </border>
    <border diagonalUp="false" diagonalDown="false">
      <left style="thin">
        <color rgb="FFD5DBD8"/>
      </left>
      <right style="thin">
        <color rgb="FFD5DBD8"/>
      </right>
      <top style="thin">
        <color rgb="FFD5DBD8"/>
      </top>
      <bottom style="thin">
        <color rgb="FFD5DBD8"/>
      </bottom>
      <diagonal/>
    </border>
    <border diagonalUp="false" diagonalDown="false">
      <left style="thick">
        <color rgb="FFFFFFFF"/>
      </left>
      <right style="thick">
        <color rgb="FFFFFFFF"/>
      </right>
      <top/>
      <bottom/>
      <diagonal/>
    </border>
    <border diagonalUp="false" diagonalDown="false">
      <left/>
      <right/>
      <top/>
      <bottom style="hair">
        <color rgb="FFD5DB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2" xfId="0" applyFont="true" applyBorder="true" applyAlignment="true" applyProtection="false">
      <alignment horizontal="left" vertical="bottom" textRotation="0" wrapText="true" indent="1" shrinkToFit="false"/>
      <protection locked="true" hidden="false"/>
    </xf>
    <xf numFmtId="164" fontId="9" fillId="4" borderId="3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9" fillId="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5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5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6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5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7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3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7" fillId="2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8" fillId="2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2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7" fontId="19" fillId="6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9" fillId="6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9" fillId="6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9" fillId="6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2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64" fontId="21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22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2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2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1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22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64" fontId="25" fillId="0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64" fontId="12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22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2E6B12"/>
      <rgbColor rgb="FF000080"/>
      <rgbColor rgb="FF808000"/>
      <rgbColor rgb="FF800080"/>
      <rgbColor rgb="FF008080"/>
      <rgbColor rgb="FFD5DBD8"/>
      <rgbColor rgb="FF878787"/>
      <rgbColor rgb="FF9999FF"/>
      <rgbColor rgb="FF993366"/>
      <rgbColor rgb="FFFFF4C2"/>
      <rgbColor rgb="FFF3F5F0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FE0E3"/>
      <rgbColor rgb="FFDFF0D0"/>
      <rgbColor rgb="FFFFFF99"/>
      <rgbColor rgb="FF99CCFF"/>
      <rgbColor rgb="FFFF99CC"/>
      <rgbColor rgb="FFCC99FF"/>
      <rgbColor rgb="FFF8D7D2"/>
      <rgbColor rgb="FF3366FF"/>
      <rgbColor rgb="FF33CCCC"/>
      <rgbColor rgb="FF86BC25"/>
      <rgbColor rgb="FFFFCC00"/>
      <rgbColor rgb="FFFF9900"/>
      <rgbColor rgb="FFFF6600"/>
      <rgbColor rgb="FF6B7A80"/>
      <rgbColor rgb="FF969696"/>
      <rgbColor rgb="FF0E3D4A"/>
      <rgbColor rgb="FF339966"/>
      <rgbColor rgb="FF003300"/>
      <rgbColor rgb="FF333300"/>
      <rgbColor rgb="FFA12B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Expected EAD by year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spPr>
            <a:solidFill>
              <a:srgbClr val="0e3d4a"/>
            </a:solidFill>
            <a:ln w="0">
              <a:solidFill>
                <a:srgbClr val="0e3d4a"/>
              </a:solidFill>
            </a:ln>
          </c:spPr>
          <c:invertIfNegative val="0"/>
          <c:dLbls>
            <c:numFmt formatCode="#,##0" sourceLinked="1"/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'Amortising EAD'!$B$16:$B$20</c:f>
              <c:strCach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strCache>
            </c:strRef>
          </c:cat>
          <c:val>
            <c:numRef>
              <c:f>'Amortising EAD'!$D$16:$D$20</c:f>
              <c:numCache>
                <c:formatCode>#,##0;\(#,##0\);;</c:formatCode>
                <c:ptCount val="5"/>
                <c:pt idx="0">
                  <c:v>1000000</c:v>
                </c:pt>
                <c:pt idx="1">
                  <c:v>788066.368161505</c:v>
                </c:pt>
                <c:pt idx="2">
                  <c:v>582519.143487135</c:v>
                </c:pt>
                <c:pt idx="3">
                  <c:v>382929.538483559</c:v>
                </c:pt>
                <c:pt idx="4">
                  <c:v>188887.358886602</c:v>
                </c:pt>
              </c:numCache>
            </c:numRef>
          </c:val>
        </c:ser>
        <c:gapWidth val="60"/>
        <c:overlap val="0"/>
        <c:axId val="650967"/>
        <c:axId val="76415614"/>
      </c:barChart>
      <c:catAx>
        <c:axId val="6509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6415614"/>
        <c:crosses val="autoZero"/>
        <c:auto val="1"/>
        <c:lblAlgn val="ctr"/>
        <c:lblOffset val="100"/>
        <c:noMultiLvlLbl val="0"/>
      </c:catAx>
      <c:valAx>
        <c:axId val="76415614"/>
        <c:scaling>
          <c:orientation val="minMax"/>
        </c:scaling>
        <c:delete val="1"/>
        <c:axPos val="l"/>
        <c:numFmt formatCode="#,##0;\(#,##0\);;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50967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9</xdr:col>
      <xdr:colOff>0</xdr:colOff>
      <xdr:row>6</xdr:row>
      <xdr:rowOff>0</xdr:rowOff>
    </xdr:from>
    <xdr:to>
      <xdr:col>18</xdr:col>
      <xdr:colOff>255960</xdr:colOff>
      <xdr:row>15</xdr:row>
      <xdr:rowOff>187920</xdr:rowOff>
    </xdr:to>
    <xdr:graphicFrame>
      <xdr:nvGraphicFramePr>
        <xdr:cNvPr id="0" name="Chart 1"/>
        <xdr:cNvGraphicFramePr/>
      </xdr:nvGraphicFramePr>
      <xdr:xfrm>
        <a:off x="7131600" y="1247760"/>
        <a:ext cx="575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6BC25"/>
    <pageSetUpPr fitToPage="true"/>
  </sheetPr>
  <dimension ref="B1:M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8" zeroHeight="false" outlineLevelRow="0" outlineLevelCol="0"/>
  <cols>
    <col collapsed="false" customWidth="true" hidden="false" outlineLevel="0" max="1" min="1" style="0" width="2.5"/>
    <col collapsed="false" customWidth="true" hidden="false" outlineLevel="0" max="13" min="2" style="0" width="11.5"/>
  </cols>
  <sheetData>
    <row r="1" customFormat="false" ht="18" hidden="false" customHeight="false" outlineLevel="0" collapsed="false"/>
    <row r="2" customFormat="false" ht="24" hidden="false" customHeight="true" outlineLevel="0" collapsed="false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customFormat="false" ht="24" hidden="false" customHeight="true" outlineLevel="0" collapsed="false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customFormat="false" ht="21.75" hidden="false" customHeight="true" outlineLevel="0" collapsed="false">
      <c r="B4" s="2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customFormat="false" ht="7.5" hidden="false" customHeight="true" outlineLevel="0" collapsed="false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customFormat="false" ht="4.5" hidden="false" customHeight="true" outlineLevel="0" collapsed="false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customFormat="false" ht="18" hidden="false" customHeight="false" outlineLevel="0" collapsed="false"/>
    <row r="8" customFormat="false" ht="18" hidden="false" customHeight="true" outlineLevel="0" collapsed="false">
      <c r="B8" s="5" t="s">
        <v>2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customFormat="false" ht="24" hidden="false" customHeight="true" outlineLevel="0" collapsed="false">
      <c r="B9" s="6" t="n">
        <v>1</v>
      </c>
      <c r="C9" s="7" t="s">
        <v>3</v>
      </c>
      <c r="D9" s="7"/>
      <c r="E9" s="7"/>
      <c r="F9" s="6" t="n">
        <v>2</v>
      </c>
      <c r="G9" s="7" t="s">
        <v>4</v>
      </c>
      <c r="H9" s="7"/>
      <c r="I9" s="7"/>
      <c r="J9" s="6" t="n">
        <v>3</v>
      </c>
      <c r="K9" s="7" t="s">
        <v>5</v>
      </c>
      <c r="L9" s="7"/>
      <c r="M9" s="7"/>
    </row>
    <row r="10" customFormat="false" ht="24" hidden="false" customHeight="true" outlineLevel="0" collapsed="false">
      <c r="B10" s="6"/>
      <c r="C10" s="7"/>
      <c r="D10" s="7"/>
      <c r="E10" s="7"/>
      <c r="F10" s="6"/>
      <c r="G10" s="7"/>
      <c r="H10" s="7"/>
      <c r="I10" s="7"/>
      <c r="J10" s="6"/>
      <c r="K10" s="7"/>
      <c r="L10" s="7"/>
      <c r="M10" s="7"/>
    </row>
    <row r="11" customFormat="false" ht="24" hidden="false" customHeight="true" outlineLevel="0" collapsed="false">
      <c r="B11" s="6"/>
      <c r="C11" s="8" t="s">
        <v>6</v>
      </c>
      <c r="D11" s="8"/>
      <c r="E11" s="8"/>
      <c r="F11" s="6"/>
      <c r="G11" s="8" t="s">
        <v>7</v>
      </c>
      <c r="H11" s="8"/>
      <c r="I11" s="8"/>
      <c r="J11" s="6"/>
      <c r="K11" s="8" t="s">
        <v>8</v>
      </c>
      <c r="L11" s="8"/>
      <c r="M11" s="8"/>
    </row>
    <row r="12" customFormat="false" ht="18" hidden="false" customHeight="false" outlineLevel="0" collapsed="false"/>
    <row r="13" customFormat="false" ht="18" hidden="false" customHeight="true" outlineLevel="0" collapsed="false">
      <c r="B13" s="5" t="s">
        <v>9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customFormat="false" ht="18" hidden="false" customHeight="true" outlineLevel="0" collapsed="false">
      <c r="B14" s="9" t="s">
        <v>10</v>
      </c>
      <c r="C14" s="9"/>
      <c r="D14" s="9"/>
      <c r="E14" s="9" t="s">
        <v>11</v>
      </c>
      <c r="F14" s="9"/>
      <c r="G14" s="9"/>
      <c r="H14" s="9" t="s">
        <v>12</v>
      </c>
      <c r="I14" s="9"/>
      <c r="J14" s="9"/>
      <c r="K14" s="9" t="s">
        <v>13</v>
      </c>
      <c r="L14" s="9"/>
      <c r="M14" s="9"/>
    </row>
    <row r="15" customFormat="false" ht="21.75" hidden="false" customHeight="true" outlineLevel="0" collapsed="false">
      <c r="B15" s="10" t="n">
        <f aca="false">'Amortising EAD'!G27</f>
        <v>19325.1963851301</v>
      </c>
      <c r="C15" s="10"/>
      <c r="D15" s="10"/>
      <c r="E15" s="10" t="n">
        <f aca="false">'Amortising EAD'!H27</f>
        <v>30784.5355398847</v>
      </c>
      <c r="F15" s="10"/>
      <c r="G15" s="10"/>
      <c r="H15" s="10" t="n">
        <f aca="false">CCF!C13</f>
        <v>760000</v>
      </c>
      <c r="I15" s="10"/>
      <c r="J15" s="10"/>
      <c r="K15" s="11" t="n">
        <f aca="false">'CCF from history'!F14</f>
        <v>0.736666666666667</v>
      </c>
      <c r="L15" s="11"/>
      <c r="M15" s="11"/>
    </row>
    <row r="16" customFormat="false" ht="21.75" hidden="false" customHeight="true" outlineLevel="0" collapsed="false">
      <c r="B16" s="10"/>
      <c r="C16" s="10"/>
      <c r="D16" s="10"/>
      <c r="E16" s="10"/>
      <c r="F16" s="10"/>
      <c r="G16" s="10"/>
      <c r="H16" s="10"/>
      <c r="I16" s="10"/>
      <c r="J16" s="10"/>
      <c r="K16" s="11"/>
      <c r="L16" s="11"/>
      <c r="M16" s="11"/>
    </row>
    <row r="17" customFormat="false" ht="18" hidden="false" customHeight="false" outlineLevel="0" collapsed="false"/>
    <row r="18" customFormat="false" ht="18" hidden="false" customHeight="true" outlineLevel="0" collapsed="false">
      <c r="B18" s="5" t="s">
        <v>14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customFormat="false" ht="24" hidden="false" customHeight="true" outlineLevel="0" collapsed="false">
      <c r="B19" s="12" t="s">
        <v>15</v>
      </c>
      <c r="C19" s="12"/>
      <c r="D19" s="12"/>
      <c r="E19" s="13" t="s">
        <v>16</v>
      </c>
      <c r="F19" s="13"/>
      <c r="G19" s="13"/>
      <c r="H19" s="14" t="s">
        <v>17</v>
      </c>
      <c r="I19" s="14"/>
      <c r="J19" s="14"/>
      <c r="K19" s="15" t="s">
        <v>18</v>
      </c>
      <c r="L19" s="15"/>
      <c r="M19" s="15"/>
    </row>
    <row r="20" customFormat="false" ht="18" hidden="false" customHeight="false" outlineLevel="0" collapsed="false"/>
    <row r="21" customFormat="false" ht="18" hidden="false" customHeight="true" outlineLevel="0" collapsed="false">
      <c r="B21" s="5" t="s">
        <v>19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customFormat="false" ht="27.75" hidden="false" customHeight="true" outlineLevel="0" collapsed="false">
      <c r="B22" s="16" t="s">
        <v>20</v>
      </c>
      <c r="C22" s="16"/>
      <c r="D22" s="16"/>
      <c r="E22" s="16" t="s">
        <v>21</v>
      </c>
      <c r="F22" s="16"/>
      <c r="G22" s="16"/>
      <c r="H22" s="16" t="s">
        <v>22</v>
      </c>
      <c r="I22" s="16"/>
      <c r="J22" s="16"/>
    </row>
    <row r="23" customFormat="false" ht="18" hidden="false" customHeight="false" outlineLevel="0" collapsed="false"/>
    <row r="24" customFormat="false" ht="18" hidden="false" customHeight="false" outlineLevel="0" collapsed="false"/>
    <row r="25" customFormat="false" ht="18" hidden="false" customHeight="false" outlineLevel="0" collapsed="false"/>
    <row r="26" customFormat="false" ht="18" hidden="false" customHeight="false" outlineLevel="0" collapsed="false"/>
    <row r="27" customFormat="false" ht="18" hidden="false" customHeight="false" outlineLevel="0" collapsed="false"/>
    <row r="28" customFormat="false" ht="18" hidden="false" customHeight="false" outlineLevel="0" collapsed="false"/>
    <row r="29" customFormat="false" ht="18" hidden="false" customHeight="false" outlineLevel="0" collapsed="false"/>
    <row r="30" customFormat="false" ht="18" hidden="false" customHeight="false" outlineLevel="0" collapsed="false"/>
    <row r="31" customFormat="false" ht="18" hidden="false" customHeight="false" outlineLevel="0" collapsed="false"/>
    <row r="32" customFormat="false" ht="18" hidden="false" customHeight="false" outlineLevel="0" collapsed="false"/>
    <row r="33" customFormat="false" ht="18" hidden="false" customHeight="false" outlineLevel="0" collapsed="false"/>
    <row r="34" customFormat="false" ht="18" hidden="false" customHeight="false" outlineLevel="0" collapsed="false"/>
    <row r="35" customFormat="false" ht="18" hidden="false" customHeight="false" outlineLevel="0" collapsed="false"/>
    <row r="36" customFormat="false" ht="18" hidden="false" customHeight="false" outlineLevel="0" collapsed="false"/>
    <row r="37" customFormat="false" ht="18" hidden="false" customHeight="false" outlineLevel="0" collapsed="false"/>
    <row r="38" customFormat="false" ht="18" hidden="false" customHeight="false" outlineLevel="0" collapsed="false"/>
    <row r="39" customFormat="false" ht="18" hidden="false" customHeight="false" outlineLevel="0" collapsed="false"/>
    <row r="40" customFormat="false" ht="18" hidden="false" customHeight="false" outlineLevel="0" collapsed="false"/>
    <row r="41" customFormat="false" ht="18" hidden="false" customHeight="true" outlineLevel="0" collapsed="false">
      <c r="B41" s="17" t="s">
        <v>23</v>
      </c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</row>
  </sheetData>
  <mergeCells count="31">
    <mergeCell ref="B2:M3"/>
    <mergeCell ref="B4:M4"/>
    <mergeCell ref="B8:M8"/>
    <mergeCell ref="B9:B11"/>
    <mergeCell ref="C9:E10"/>
    <mergeCell ref="F9:F11"/>
    <mergeCell ref="G9:I10"/>
    <mergeCell ref="J9:J11"/>
    <mergeCell ref="K9:M10"/>
    <mergeCell ref="C11:E11"/>
    <mergeCell ref="G11:I11"/>
    <mergeCell ref="K11:M11"/>
    <mergeCell ref="B13:M13"/>
    <mergeCell ref="B14:D14"/>
    <mergeCell ref="E14:G14"/>
    <mergeCell ref="H14:J14"/>
    <mergeCell ref="K14:M14"/>
    <mergeCell ref="B15:D16"/>
    <mergeCell ref="E15:G16"/>
    <mergeCell ref="H15:J16"/>
    <mergeCell ref="K15:M16"/>
    <mergeCell ref="B18:M18"/>
    <mergeCell ref="B19:D19"/>
    <mergeCell ref="E19:G19"/>
    <mergeCell ref="H19:J19"/>
    <mergeCell ref="K19:M19"/>
    <mergeCell ref="B21:M21"/>
    <mergeCell ref="B22:D22"/>
    <mergeCell ref="E22:G22"/>
    <mergeCell ref="H22:J22"/>
    <mergeCell ref="B41:M41"/>
  </mergeCells>
  <hyperlinks>
    <hyperlink ref="B22" location="'Amortising EAD'!B2" display="Amortising EAD  ›"/>
    <hyperlink ref="E22" location="'CCF'!B2" display="CCF  ›"/>
    <hyperlink ref="H22" location="'CCF from history'!B2" display="CCF from history  ›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E3D4A"/>
    <pageSetUpPr fitToPage="true"/>
  </sheetPr>
  <dimension ref="B1:H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8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8"/>
    <col collapsed="false" customWidth="true" hidden="false" outlineLevel="0" max="4" min="3" style="0" width="15"/>
    <col collapsed="false" customWidth="true" hidden="false" outlineLevel="0" max="8" min="5" style="0" width="13"/>
  </cols>
  <sheetData>
    <row r="1" customFormat="false" ht="18" hidden="false" customHeight="false" outlineLevel="0" collapsed="false"/>
    <row r="2" customFormat="false" ht="19.5" hidden="false" customHeight="true" outlineLevel="0" collapsed="false">
      <c r="B2" s="18" t="s">
        <v>24</v>
      </c>
      <c r="C2" s="18"/>
      <c r="D2" s="18"/>
      <c r="E2" s="18"/>
      <c r="F2" s="18"/>
      <c r="G2" s="18"/>
      <c r="H2" s="18"/>
    </row>
    <row r="3" customFormat="false" ht="19.5" hidden="false" customHeight="true" outlineLevel="0" collapsed="false">
      <c r="B3" s="18"/>
      <c r="C3" s="18"/>
      <c r="D3" s="18"/>
      <c r="E3" s="18"/>
      <c r="F3" s="18"/>
      <c r="G3" s="18"/>
      <c r="H3" s="18"/>
    </row>
    <row r="4" customFormat="false" ht="19.5" hidden="false" customHeight="true" outlineLevel="0" collapsed="false">
      <c r="B4" s="19" t="s">
        <v>25</v>
      </c>
      <c r="C4" s="19"/>
      <c r="D4" s="19"/>
      <c r="E4" s="19"/>
      <c r="F4" s="19"/>
      <c r="G4" s="19"/>
      <c r="H4" s="19"/>
    </row>
    <row r="5" customFormat="false" ht="3.75" hidden="false" customHeight="true" outlineLevel="0" collapsed="false">
      <c r="B5" s="4"/>
      <c r="C5" s="4"/>
      <c r="D5" s="4"/>
      <c r="E5" s="4"/>
      <c r="F5" s="4"/>
      <c r="G5" s="4"/>
      <c r="H5" s="4"/>
    </row>
    <row r="6" customFormat="false" ht="18" hidden="false" customHeight="false" outlineLevel="0" collapsed="false"/>
    <row r="7" customFormat="false" ht="18" hidden="false" customHeight="true" outlineLevel="0" collapsed="false">
      <c r="B7" s="20" t="s">
        <v>26</v>
      </c>
      <c r="C7" s="20"/>
      <c r="D7" s="20"/>
      <c r="E7" s="21" t="n">
        <v>1000000</v>
      </c>
    </row>
    <row r="8" customFormat="false" ht="23.85" hidden="false" customHeight="true" outlineLevel="0" collapsed="false">
      <c r="B8" s="20" t="s">
        <v>27</v>
      </c>
      <c r="C8" s="20"/>
      <c r="D8" s="20"/>
      <c r="E8" s="22" t="n">
        <v>0.08</v>
      </c>
    </row>
    <row r="9" customFormat="false" ht="18" hidden="false" customHeight="true" outlineLevel="0" collapsed="false">
      <c r="B9" s="20" t="s">
        <v>28</v>
      </c>
      <c r="C9" s="20"/>
      <c r="D9" s="20"/>
      <c r="E9" s="23" t="n">
        <v>5</v>
      </c>
    </row>
    <row r="10" customFormat="false" ht="18" hidden="false" customHeight="true" outlineLevel="0" collapsed="false">
      <c r="B10" s="20" t="s">
        <v>29</v>
      </c>
      <c r="C10" s="20"/>
      <c r="D10" s="20"/>
      <c r="E10" s="22" t="n">
        <v>0.05</v>
      </c>
    </row>
    <row r="11" customFormat="false" ht="18" hidden="false" customHeight="true" outlineLevel="0" collapsed="false">
      <c r="B11" s="20" t="s">
        <v>30</v>
      </c>
      <c r="C11" s="20"/>
      <c r="D11" s="20"/>
      <c r="E11" s="24" t="n">
        <v>0.02</v>
      </c>
    </row>
    <row r="12" customFormat="false" ht="18" hidden="false" customHeight="true" outlineLevel="0" collapsed="false">
      <c r="B12" s="20" t="s">
        <v>31</v>
      </c>
      <c r="C12" s="20"/>
      <c r="D12" s="20"/>
      <c r="E12" s="22" t="n">
        <v>0.4</v>
      </c>
    </row>
    <row r="13" customFormat="false" ht="18" hidden="false" customHeight="true" outlineLevel="0" collapsed="false">
      <c r="B13" s="20" t="s">
        <v>32</v>
      </c>
      <c r="C13" s="20"/>
      <c r="D13" s="20"/>
      <c r="E13" s="25" t="n">
        <f aca="false">PMT(E8,E9,-E7)</f>
        <v>250456.454566837</v>
      </c>
    </row>
    <row r="14" customFormat="false" ht="18" hidden="false" customHeight="false" outlineLevel="0" collapsed="false"/>
    <row r="15" customFormat="false" ht="33.75" hidden="false" customHeight="true" outlineLevel="0" collapsed="false">
      <c r="B15" s="26" t="s">
        <v>33</v>
      </c>
      <c r="C15" s="27" t="s">
        <v>34</v>
      </c>
      <c r="D15" s="27" t="s">
        <v>35</v>
      </c>
      <c r="E15" s="27" t="s">
        <v>36</v>
      </c>
      <c r="F15" s="27" t="s">
        <v>37</v>
      </c>
      <c r="G15" s="27" t="s">
        <v>38</v>
      </c>
      <c r="H15" s="27" t="s">
        <v>39</v>
      </c>
    </row>
    <row r="16" customFormat="false" ht="18" hidden="false" customHeight="false" outlineLevel="0" collapsed="false">
      <c r="B16" s="28" t="n">
        <v>1</v>
      </c>
      <c r="C16" s="25" t="n">
        <f aca="false">IF(1&lt;=$E$9,$E$7*((1+$E$8)^$E$9-(1+$E$8)^(B16-1))/((1+$E$8)^$E$9-1),0)</f>
        <v>1000000</v>
      </c>
      <c r="D16" s="29" t="n">
        <f aca="false">C16*(1-$E$10)^(B16-1)</f>
        <v>1000000</v>
      </c>
      <c r="E16" s="30" t="n">
        <f aca="false">IF(1&lt;=$E$9,(1-$E$11)^(B16-1)*$E$11,0)</f>
        <v>0.02</v>
      </c>
      <c r="F16" s="31" t="n">
        <f aca="false">IF(1&lt;=$E$9,1/(1+$E$8)^B16,0)</f>
        <v>0.925925925925926</v>
      </c>
      <c r="G16" s="29" t="n">
        <f aca="false">D16*E16*$E$12*F16</f>
        <v>7407.40740740741</v>
      </c>
      <c r="H16" s="25" t="n">
        <f aca="false">IF(1&lt;=$E$9,$E$7,0)*E16*$E$12*F16</f>
        <v>7407.40740740741</v>
      </c>
    </row>
    <row r="17" customFormat="false" ht="18" hidden="false" customHeight="false" outlineLevel="0" collapsed="false">
      <c r="B17" s="28" t="n">
        <v>2</v>
      </c>
      <c r="C17" s="25" t="n">
        <f aca="false">IF(2&lt;=$E$9,$E$7*((1+$E$8)^$E$9-(1+$E$8)^(B17-1))/((1+$E$8)^$E$9-1),0)</f>
        <v>829543.545433164</v>
      </c>
      <c r="D17" s="29" t="n">
        <f aca="false">C17*(1-$E$10)^(B17-1)</f>
        <v>788066.368161505</v>
      </c>
      <c r="E17" s="30" t="n">
        <f aca="false">IF(2&lt;=$E$9,(1-$E$11)^(B17-1)*$E$11,0)</f>
        <v>0.0196</v>
      </c>
      <c r="F17" s="31" t="n">
        <f aca="false">IF(2&lt;=$E$9,1/(1+$E$8)^B17,0)</f>
        <v>0.857338820301783</v>
      </c>
      <c r="G17" s="29" t="n">
        <f aca="false">D17*E17*$E$12*F17</f>
        <v>5297.01674072891</v>
      </c>
      <c r="H17" s="25" t="n">
        <f aca="false">IF(2&lt;=$E$9,$E$7,0)*E17*$E$12*F17</f>
        <v>6721.53635116598</v>
      </c>
    </row>
    <row r="18" customFormat="false" ht="18" hidden="false" customHeight="false" outlineLevel="0" collapsed="false">
      <c r="B18" s="28" t="n">
        <v>3</v>
      </c>
      <c r="C18" s="25" t="n">
        <f aca="false">IF(3&lt;=$E$9,$E$7*((1+$E$8)^$E$9-(1+$E$8)^(B18-1))/((1+$E$8)^$E$9-1),0)</f>
        <v>645450.57450098</v>
      </c>
      <c r="D18" s="29" t="n">
        <f aca="false">C18*(1-$E$10)^(B18-1)</f>
        <v>582519.143487135</v>
      </c>
      <c r="E18" s="30" t="n">
        <f aca="false">IF(3&lt;=$E$9,(1-$E$11)^(B18-1)*$E$11,0)</f>
        <v>0.019208</v>
      </c>
      <c r="F18" s="31" t="n">
        <f aca="false">IF(3&lt;=$E$9,1/(1+$E$8)^B18,0)</f>
        <v>0.79383224102017</v>
      </c>
      <c r="G18" s="29" t="n">
        <f aca="false">D18*E18*$E$12*F18</f>
        <v>3552.8843761434</v>
      </c>
      <c r="H18" s="25" t="n">
        <f aca="false">IF(3&lt;=$E$9,$E$7,0)*E18*$E$12*F18</f>
        <v>6099.17187420617</v>
      </c>
    </row>
    <row r="19" customFormat="false" ht="18" hidden="false" customHeight="false" outlineLevel="0" collapsed="false">
      <c r="B19" s="28" t="n">
        <v>4</v>
      </c>
      <c r="C19" s="25" t="n">
        <f aca="false">IF(4&lt;=$E$9,$E$7*((1+$E$8)^$E$9-(1+$E$8)^(B19-1))/((1+$E$8)^$E$9-1),0)</f>
        <v>446630.165894222</v>
      </c>
      <c r="D19" s="29" t="n">
        <f aca="false">C19*(1-$E$10)^(B19-1)</f>
        <v>382929.538483559</v>
      </c>
      <c r="E19" s="30" t="n">
        <f aca="false">IF(4&lt;=$E$9,(1-$E$11)^(B19-1)*$E$11,0)</f>
        <v>0.01882384</v>
      </c>
      <c r="F19" s="31" t="n">
        <f aca="false">IF(4&lt;=$E$9,1/(1+$E$8)^B19,0)</f>
        <v>0.735029852796453</v>
      </c>
      <c r="G19" s="29" t="n">
        <f aca="false">D19*E19*$E$12*F19</f>
        <v>2119.29815694744</v>
      </c>
      <c r="H19" s="25" t="n">
        <f aca="false">IF(4&lt;=$E$9,$E$7,0)*E19*$E$12*F19</f>
        <v>5534.4337377056</v>
      </c>
    </row>
    <row r="20" customFormat="false" ht="18" hidden="false" customHeight="false" outlineLevel="0" collapsed="false">
      <c r="B20" s="28" t="n">
        <v>5</v>
      </c>
      <c r="C20" s="25" t="n">
        <f aca="false">IF(5&lt;=$E$9,$E$7*((1+$E$8)^$E$9-(1+$E$8)^(B20-1))/((1+$E$8)^$E$9-1),0)</f>
        <v>231904.124598923</v>
      </c>
      <c r="D20" s="29" t="n">
        <f aca="false">C20*(1-$E$10)^(B20-1)</f>
        <v>188887.358886602</v>
      </c>
      <c r="E20" s="30" t="n">
        <f aca="false">IF(5&lt;=$E$9,(1-$E$11)^(B20-1)*$E$11,0)</f>
        <v>0.0184473632</v>
      </c>
      <c r="F20" s="31" t="n">
        <f aca="false">IF(5&lt;=$E$9,1/(1+$E$8)^B20,0)</f>
        <v>0.680583197033753</v>
      </c>
      <c r="G20" s="29" t="n">
        <f aca="false">D20*E20*$E$12*F20</f>
        <v>948.589703902917</v>
      </c>
      <c r="H20" s="25" t="n">
        <f aca="false">IF(5&lt;=$E$9,$E$7,0)*E20*$E$12*F20</f>
        <v>5021.98616939952</v>
      </c>
    </row>
    <row r="21" customFormat="false" ht="18" hidden="false" customHeight="false" outlineLevel="0" collapsed="false">
      <c r="B21" s="28" t="n">
        <v>6</v>
      </c>
      <c r="C21" s="25" t="n">
        <f aca="false">IF(6&lt;=$E$9,$E$7*((1+$E$8)^$E$9-(1+$E$8)^(B21-1))/((1+$E$8)^$E$9-1),0)</f>
        <v>0</v>
      </c>
      <c r="D21" s="29" t="n">
        <f aca="false">C21*(1-$E$10)^(B21-1)</f>
        <v>0</v>
      </c>
      <c r="E21" s="30" t="n">
        <f aca="false">IF(6&lt;=$E$9,(1-$E$11)^(B21-1)*$E$11,0)</f>
        <v>0</v>
      </c>
      <c r="F21" s="31" t="n">
        <f aca="false">IF(6&lt;=$E$9,1/(1+$E$8)^B21,0)</f>
        <v>0</v>
      </c>
      <c r="G21" s="29" t="n">
        <f aca="false">D21*E21*$E$12*F21</f>
        <v>0</v>
      </c>
      <c r="H21" s="25" t="n">
        <f aca="false">IF(6&lt;=$E$9,$E$7,0)*E21*$E$12*F21</f>
        <v>0</v>
      </c>
    </row>
    <row r="22" customFormat="false" ht="18" hidden="false" customHeight="false" outlineLevel="0" collapsed="false">
      <c r="B22" s="28" t="n">
        <v>7</v>
      </c>
      <c r="C22" s="25" t="n">
        <f aca="false">IF(7&lt;=$E$9,$E$7*((1+$E$8)^$E$9-(1+$E$8)^(B22-1))/((1+$E$8)^$E$9-1),0)</f>
        <v>0</v>
      </c>
      <c r="D22" s="29" t="n">
        <f aca="false">C22*(1-$E$10)^(B22-1)</f>
        <v>0</v>
      </c>
      <c r="E22" s="30" t="n">
        <f aca="false">IF(7&lt;=$E$9,(1-$E$11)^(B22-1)*$E$11,0)</f>
        <v>0</v>
      </c>
      <c r="F22" s="31" t="n">
        <f aca="false">IF(7&lt;=$E$9,1/(1+$E$8)^B22,0)</f>
        <v>0</v>
      </c>
      <c r="G22" s="29" t="n">
        <f aca="false">D22*E22*$E$12*F22</f>
        <v>0</v>
      </c>
      <c r="H22" s="25" t="n">
        <f aca="false">IF(7&lt;=$E$9,$E$7,0)*E22*$E$12*F22</f>
        <v>0</v>
      </c>
    </row>
    <row r="23" customFormat="false" ht="18" hidden="false" customHeight="false" outlineLevel="0" collapsed="false">
      <c r="B23" s="28" t="n">
        <v>8</v>
      </c>
      <c r="C23" s="25" t="n">
        <f aca="false">IF(8&lt;=$E$9,$E$7*((1+$E$8)^$E$9-(1+$E$8)^(B23-1))/((1+$E$8)^$E$9-1),0)</f>
        <v>0</v>
      </c>
      <c r="D23" s="29" t="n">
        <f aca="false">C23*(1-$E$10)^(B23-1)</f>
        <v>0</v>
      </c>
      <c r="E23" s="30" t="n">
        <f aca="false">IF(8&lt;=$E$9,(1-$E$11)^(B23-1)*$E$11,0)</f>
        <v>0</v>
      </c>
      <c r="F23" s="31" t="n">
        <f aca="false">IF(8&lt;=$E$9,1/(1+$E$8)^B23,0)</f>
        <v>0</v>
      </c>
      <c r="G23" s="29" t="n">
        <f aca="false">D23*E23*$E$12*F23</f>
        <v>0</v>
      </c>
      <c r="H23" s="25" t="n">
        <f aca="false">IF(8&lt;=$E$9,$E$7,0)*E23*$E$12*F23</f>
        <v>0</v>
      </c>
    </row>
    <row r="24" customFormat="false" ht="18" hidden="false" customHeight="false" outlineLevel="0" collapsed="false">
      <c r="B24" s="28" t="n">
        <v>9</v>
      </c>
      <c r="C24" s="25" t="n">
        <f aca="false">IF(9&lt;=$E$9,$E$7*((1+$E$8)^$E$9-(1+$E$8)^(B24-1))/((1+$E$8)^$E$9-1),0)</f>
        <v>0</v>
      </c>
      <c r="D24" s="29" t="n">
        <f aca="false">C24*(1-$E$10)^(B24-1)</f>
        <v>0</v>
      </c>
      <c r="E24" s="30" t="n">
        <f aca="false">IF(9&lt;=$E$9,(1-$E$11)^(B24-1)*$E$11,0)</f>
        <v>0</v>
      </c>
      <c r="F24" s="31" t="n">
        <f aca="false">IF(9&lt;=$E$9,1/(1+$E$8)^B24,0)</f>
        <v>0</v>
      </c>
      <c r="G24" s="29" t="n">
        <f aca="false">D24*E24*$E$12*F24</f>
        <v>0</v>
      </c>
      <c r="H24" s="25" t="n">
        <f aca="false">IF(9&lt;=$E$9,$E$7,0)*E24*$E$12*F24</f>
        <v>0</v>
      </c>
    </row>
    <row r="25" customFormat="false" ht="18" hidden="false" customHeight="false" outlineLevel="0" collapsed="false">
      <c r="B25" s="28" t="n">
        <v>10</v>
      </c>
      <c r="C25" s="25" t="n">
        <f aca="false">IF(10&lt;=$E$9,$E$7*((1+$E$8)^$E$9-(1+$E$8)^(B25-1))/((1+$E$8)^$E$9-1),0)</f>
        <v>0</v>
      </c>
      <c r="D25" s="29" t="n">
        <f aca="false">C25*(1-$E$10)^(B25-1)</f>
        <v>0</v>
      </c>
      <c r="E25" s="30" t="n">
        <f aca="false">IF(10&lt;=$E$9,(1-$E$11)^(B25-1)*$E$11,0)</f>
        <v>0</v>
      </c>
      <c r="F25" s="31" t="n">
        <f aca="false">IF(10&lt;=$E$9,1/(1+$E$8)^B25,0)</f>
        <v>0</v>
      </c>
      <c r="G25" s="29" t="n">
        <f aca="false">D25*E25*$E$12*F25</f>
        <v>0</v>
      </c>
      <c r="H25" s="25" t="n">
        <f aca="false">IF(10&lt;=$E$9,$E$7,0)*E25*$E$12*F25</f>
        <v>0</v>
      </c>
    </row>
    <row r="26" customFormat="false" ht="18" hidden="false" customHeight="false" outlineLevel="0" collapsed="false"/>
    <row r="27" customFormat="false" ht="23.85" hidden="false" customHeight="false" outlineLevel="0" collapsed="false">
      <c r="B27" s="26" t="s">
        <v>40</v>
      </c>
      <c r="C27" s="3"/>
      <c r="D27" s="3"/>
      <c r="E27" s="3"/>
      <c r="F27" s="3"/>
      <c r="G27" s="32" t="n">
        <f aca="false">SUM(G16:G25)</f>
        <v>19325.1963851301</v>
      </c>
      <c r="H27" s="32" t="n">
        <f aca="false">SUM(H16:H25)</f>
        <v>30784.5355398847</v>
      </c>
    </row>
    <row r="28" customFormat="false" ht="18" hidden="false" customHeight="true" outlineLevel="0" collapsed="false">
      <c r="B28" s="20" t="s">
        <v>41</v>
      </c>
      <c r="C28" s="20"/>
      <c r="D28" s="20"/>
      <c r="E28" s="20"/>
      <c r="F28" s="20"/>
      <c r="G28" s="33" t="n">
        <f aca="false">IF(H27=0,0,1-G27/H27)</f>
        <v>0.372243366800444</v>
      </c>
    </row>
    <row r="29" customFormat="false" ht="18" hidden="false" customHeight="false" outlineLevel="0" collapsed="false"/>
    <row r="30" customFormat="false" ht="18" hidden="false" customHeight="true" outlineLevel="0" collapsed="false">
      <c r="B30" s="34" t="s">
        <v>42</v>
      </c>
      <c r="C30" s="34"/>
      <c r="D30" s="34"/>
      <c r="E30" s="34"/>
      <c r="F30" s="34"/>
      <c r="G30" s="34"/>
      <c r="H30" s="34"/>
    </row>
    <row r="31" customFormat="false" ht="18" hidden="false" customHeight="false" outlineLevel="0" collapsed="false">
      <c r="B31" s="34"/>
      <c r="C31" s="34"/>
      <c r="D31" s="34"/>
      <c r="E31" s="34"/>
      <c r="F31" s="34"/>
      <c r="G31" s="34"/>
      <c r="H31" s="34"/>
    </row>
    <row r="32" customFormat="false" ht="18" hidden="false" customHeight="false" outlineLevel="0" collapsed="false">
      <c r="B32" s="34"/>
      <c r="C32" s="34"/>
      <c r="D32" s="34"/>
      <c r="E32" s="34"/>
      <c r="F32" s="34"/>
      <c r="G32" s="34"/>
      <c r="H32" s="34"/>
    </row>
  </sheetData>
  <mergeCells count="11">
    <mergeCell ref="B2:H3"/>
    <mergeCell ref="B4:H4"/>
    <mergeCell ref="B7:D7"/>
    <mergeCell ref="B8:D8"/>
    <mergeCell ref="B9:D9"/>
    <mergeCell ref="B10:D10"/>
    <mergeCell ref="B11:D11"/>
    <mergeCell ref="B12:D12"/>
    <mergeCell ref="B13:D13"/>
    <mergeCell ref="B28:F28"/>
    <mergeCell ref="B30:H3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E3D4A"/>
    <pageSetUpPr fitToPage="true"/>
  </sheetPr>
  <dimension ref="B1:C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8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54"/>
    <col collapsed="false" customWidth="true" hidden="false" outlineLevel="0" max="3" min="3" style="0" width="16"/>
  </cols>
  <sheetData>
    <row r="1" customFormat="false" ht="18" hidden="false" customHeight="false" outlineLevel="0" collapsed="false"/>
    <row r="2" customFormat="false" ht="19.5" hidden="false" customHeight="true" outlineLevel="0" collapsed="false">
      <c r="B2" s="18" t="s">
        <v>43</v>
      </c>
      <c r="C2" s="18"/>
    </row>
    <row r="3" customFormat="false" ht="19.5" hidden="false" customHeight="true" outlineLevel="0" collapsed="false">
      <c r="B3" s="18"/>
      <c r="C3" s="18"/>
    </row>
    <row r="4" customFormat="false" ht="19.5" hidden="false" customHeight="true" outlineLevel="0" collapsed="false">
      <c r="B4" s="19" t="s">
        <v>44</v>
      </c>
      <c r="C4" s="19"/>
    </row>
    <row r="5" customFormat="false" ht="3.75" hidden="false" customHeight="true" outlineLevel="0" collapsed="false">
      <c r="B5" s="4"/>
      <c r="C5" s="4"/>
    </row>
    <row r="6" customFormat="false" ht="18" hidden="false" customHeight="false" outlineLevel="0" collapsed="false"/>
    <row r="7" customFormat="false" ht="18" hidden="false" customHeight="false" outlineLevel="0" collapsed="false">
      <c r="B7" s="35" t="s">
        <v>45</v>
      </c>
      <c r="C7" s="21" t="n">
        <v>1000000</v>
      </c>
    </row>
    <row r="8" customFormat="false" ht="18" hidden="false" customHeight="false" outlineLevel="0" collapsed="false">
      <c r="B8" s="35" t="s">
        <v>46</v>
      </c>
      <c r="C8" s="21" t="n">
        <v>400000</v>
      </c>
    </row>
    <row r="9" customFormat="false" ht="23.85" hidden="false" customHeight="false" outlineLevel="0" collapsed="false">
      <c r="B9" s="35" t="s">
        <v>47</v>
      </c>
      <c r="C9" s="22" t="n">
        <v>0.6</v>
      </c>
    </row>
    <row r="10" customFormat="false" ht="18" hidden="false" customHeight="false" outlineLevel="0" collapsed="false">
      <c r="B10" s="35" t="s">
        <v>48</v>
      </c>
      <c r="C10" s="24" t="n">
        <v>0.03</v>
      </c>
    </row>
    <row r="11" customFormat="false" ht="18" hidden="false" customHeight="false" outlineLevel="0" collapsed="false">
      <c r="B11" s="35" t="s">
        <v>31</v>
      </c>
      <c r="C11" s="22" t="n">
        <v>0.45</v>
      </c>
    </row>
    <row r="12" customFormat="false" ht="18" hidden="false" customHeight="false" outlineLevel="0" collapsed="false">
      <c r="B12" s="36" t="s">
        <v>49</v>
      </c>
      <c r="C12" s="25" t="n">
        <f aca="false">C7-C8</f>
        <v>600000</v>
      </c>
    </row>
    <row r="13" customFormat="false" ht="18" hidden="false" customHeight="false" outlineLevel="0" collapsed="false">
      <c r="B13" s="35" t="s">
        <v>50</v>
      </c>
      <c r="C13" s="29" t="n">
        <f aca="false">C8+C9*C12</f>
        <v>760000</v>
      </c>
    </row>
    <row r="14" customFormat="false" ht="18" hidden="false" customHeight="false" outlineLevel="0" collapsed="false">
      <c r="B14" s="35" t="s">
        <v>51</v>
      </c>
      <c r="C14" s="29" t="n">
        <f aca="false">C13*C10*C11</f>
        <v>10260</v>
      </c>
    </row>
    <row r="15" customFormat="false" ht="18" hidden="false" customHeight="false" outlineLevel="0" collapsed="false">
      <c r="B15" s="36" t="s">
        <v>52</v>
      </c>
      <c r="C15" s="25" t="n">
        <f aca="false">IF(C13=0,0,C14*C8/C13)</f>
        <v>5400</v>
      </c>
    </row>
    <row r="16" customFormat="false" ht="18" hidden="false" customHeight="false" outlineLevel="0" collapsed="false">
      <c r="B16" s="36" t="s">
        <v>53</v>
      </c>
      <c r="C16" s="25" t="n">
        <f aca="false">C14-C15</f>
        <v>4860</v>
      </c>
    </row>
    <row r="17" customFormat="false" ht="18" hidden="false" customHeight="false" outlineLevel="0" collapsed="false"/>
    <row r="18" customFormat="false" ht="18" hidden="false" customHeight="true" outlineLevel="0" collapsed="false">
      <c r="B18" s="34" t="s">
        <v>54</v>
      </c>
      <c r="C18" s="34"/>
    </row>
    <row r="19" customFormat="false" ht="18" hidden="false" customHeight="false" outlineLevel="0" collapsed="false">
      <c r="B19" s="34"/>
      <c r="C19" s="34"/>
    </row>
    <row r="20" customFormat="false" ht="18" hidden="false" customHeight="false" outlineLevel="0" collapsed="false">
      <c r="B20" s="34"/>
      <c r="C20" s="34"/>
    </row>
    <row r="21" customFormat="false" ht="18" hidden="false" customHeight="false" outlineLevel="0" collapsed="false">
      <c r="B21" s="34"/>
      <c r="C21" s="34"/>
    </row>
  </sheetData>
  <mergeCells count="3">
    <mergeCell ref="B2:C3"/>
    <mergeCell ref="B4:C4"/>
    <mergeCell ref="B18:C2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E3D4A"/>
    <pageSetUpPr fitToPage="true"/>
  </sheetPr>
  <dimension ref="B1:F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8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12"/>
    <col collapsed="false" customWidth="true" hidden="false" outlineLevel="0" max="3" min="3" style="0" width="13"/>
    <col collapsed="false" customWidth="true" hidden="false" outlineLevel="0" max="5" min="4" style="0" width="16"/>
    <col collapsed="false" customWidth="true" hidden="false" outlineLevel="0" max="6" min="6" style="0" width="12"/>
  </cols>
  <sheetData>
    <row r="1" customFormat="false" ht="18" hidden="false" customHeight="false" outlineLevel="0" collapsed="false"/>
    <row r="2" customFormat="false" ht="19.5" hidden="false" customHeight="true" outlineLevel="0" collapsed="false">
      <c r="B2" s="18" t="s">
        <v>55</v>
      </c>
      <c r="C2" s="18"/>
      <c r="D2" s="18"/>
      <c r="E2" s="18"/>
      <c r="F2" s="18"/>
    </row>
    <row r="3" customFormat="false" ht="19.5" hidden="false" customHeight="true" outlineLevel="0" collapsed="false">
      <c r="B3" s="18"/>
      <c r="C3" s="18"/>
      <c r="D3" s="18"/>
      <c r="E3" s="18"/>
      <c r="F3" s="18"/>
    </row>
    <row r="4" customFormat="false" ht="19.5" hidden="false" customHeight="true" outlineLevel="0" collapsed="false">
      <c r="B4" s="19" t="s">
        <v>56</v>
      </c>
      <c r="C4" s="19"/>
      <c r="D4" s="19"/>
      <c r="E4" s="19"/>
      <c r="F4" s="19"/>
    </row>
    <row r="5" customFormat="false" ht="3.75" hidden="false" customHeight="true" outlineLevel="0" collapsed="false">
      <c r="B5" s="4"/>
      <c r="C5" s="4"/>
      <c r="D5" s="4"/>
      <c r="E5" s="4"/>
      <c r="F5" s="4"/>
    </row>
    <row r="6" customFormat="false" ht="18" hidden="false" customHeight="false" outlineLevel="0" collapsed="false"/>
    <row r="7" customFormat="false" ht="33.75" hidden="false" customHeight="true" outlineLevel="0" collapsed="false">
      <c r="B7" s="26" t="s">
        <v>57</v>
      </c>
      <c r="C7" s="27" t="s">
        <v>58</v>
      </c>
      <c r="D7" s="27" t="s">
        <v>59</v>
      </c>
      <c r="E7" s="27" t="s">
        <v>60</v>
      </c>
      <c r="F7" s="27" t="s">
        <v>61</v>
      </c>
    </row>
    <row r="8" customFormat="false" ht="18" hidden="false" customHeight="false" outlineLevel="0" collapsed="false">
      <c r="B8" s="37" t="s">
        <v>62</v>
      </c>
      <c r="C8" s="21" t="n">
        <v>500000</v>
      </c>
      <c r="D8" s="21" t="n">
        <v>200000</v>
      </c>
      <c r="E8" s="21" t="n">
        <v>420000</v>
      </c>
      <c r="F8" s="38" t="n">
        <f aca="false">IF(C8-D8=0,0,(E8-D8)/(C8-D8))</f>
        <v>0.733333333333333</v>
      </c>
    </row>
    <row r="9" customFormat="false" ht="18" hidden="false" customHeight="false" outlineLevel="0" collapsed="false">
      <c r="B9" s="37" t="s">
        <v>63</v>
      </c>
      <c r="C9" s="21" t="n">
        <v>300000</v>
      </c>
      <c r="D9" s="21" t="n">
        <v>150000</v>
      </c>
      <c r="E9" s="21" t="n">
        <v>270000</v>
      </c>
      <c r="F9" s="38" t="n">
        <f aca="false">IF(C9-D9=0,0,(E9-D9)/(C9-D9))</f>
        <v>0.8</v>
      </c>
    </row>
    <row r="10" customFormat="false" ht="18" hidden="false" customHeight="false" outlineLevel="0" collapsed="false">
      <c r="B10" s="37" t="s">
        <v>64</v>
      </c>
      <c r="C10" s="21" t="n">
        <v>800000</v>
      </c>
      <c r="D10" s="21" t="n">
        <v>300000</v>
      </c>
      <c r="E10" s="21" t="n">
        <v>550000</v>
      </c>
      <c r="F10" s="38" t="n">
        <f aca="false">IF(C10-D10=0,0,(E10-D10)/(C10-D10))</f>
        <v>0.5</v>
      </c>
    </row>
    <row r="11" customFormat="false" ht="18" hidden="false" customHeight="false" outlineLevel="0" collapsed="false">
      <c r="B11" s="37" t="s">
        <v>65</v>
      </c>
      <c r="C11" s="21" t="n">
        <v>250000</v>
      </c>
      <c r="D11" s="21" t="n">
        <v>50000</v>
      </c>
      <c r="E11" s="21" t="n">
        <v>200000</v>
      </c>
      <c r="F11" s="38" t="n">
        <f aca="false">IF(C11-D11=0,0,(E11-D11)/(C11-D11))</f>
        <v>0.75</v>
      </c>
    </row>
    <row r="12" customFormat="false" ht="18" hidden="false" customHeight="false" outlineLevel="0" collapsed="false">
      <c r="B12" s="37" t="s">
        <v>66</v>
      </c>
      <c r="C12" s="21" t="n">
        <v>600000</v>
      </c>
      <c r="D12" s="21" t="n">
        <v>400000</v>
      </c>
      <c r="E12" s="21" t="n">
        <v>580000</v>
      </c>
      <c r="F12" s="38" t="n">
        <f aca="false">IF(C12-D12=0,0,(E12-D12)/(C12-D12))</f>
        <v>0.9</v>
      </c>
    </row>
    <row r="13" customFormat="false" ht="18" hidden="false" customHeight="false" outlineLevel="0" collapsed="false"/>
    <row r="14" customFormat="false" ht="18" hidden="false" customHeight="true" outlineLevel="0" collapsed="false">
      <c r="B14" s="20" t="s">
        <v>67</v>
      </c>
      <c r="C14" s="20"/>
      <c r="D14" s="20"/>
      <c r="E14" s="20"/>
      <c r="F14" s="38" t="n">
        <f aca="false">AVERAGE(F8:F12)</f>
        <v>0.736666666666667</v>
      </c>
    </row>
    <row r="15" customFormat="false" ht="18" hidden="false" customHeight="true" outlineLevel="0" collapsed="false">
      <c r="B15" s="20" t="s">
        <v>68</v>
      </c>
      <c r="C15" s="20"/>
      <c r="D15" s="20"/>
      <c r="E15" s="20"/>
      <c r="F15" s="38" t="n">
        <f aca="false">(SUM(E8:E12)-SUM(D8:D12))/(SUM(C8:C12)-SUM(D8:D12))</f>
        <v>0.681481481481482</v>
      </c>
    </row>
  </sheetData>
  <mergeCells count="4">
    <mergeCell ref="B2:F3"/>
    <mergeCell ref="B4:F4"/>
    <mergeCell ref="B14:E14"/>
    <mergeCell ref="B15:E1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2026-10-04T13:53:56Z</dcterms:created>
  <dc:creator>openpyxl</dc:creator>
  <dc:description/>
  <dc:language>en-US</dc:language>
  <cp:lastModifiedBy/>
  <dcterms:modified xsi:type="dcterms:W3CDTF">2026-10-04T13:54:02Z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