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Pool" sheetId="2" state="visible" r:id="rId4"/>
    <sheet name="Off-balance sheet" sheetId="3" state="visible" r:id="rId5"/>
    <sheet name="AFS securit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<sst xmlns="http://schemas.openxmlformats.org/spreadsheetml/2006/main" count="66" uniqueCount="64">
  <si>
    <t xml:space="preserve">CECL calculator</t>
  </si>
  <si>
    <t xml:space="preserve">ASC 326: lifetime credit losses with forecasts and reversion, unfunded commitments, and available-for-sale securities</t>
  </si>
  <si>
    <t xml:space="preserve">HOW IT WORKS</t>
  </si>
  <si>
    <t xml:space="preserve">Describe the pool</t>
  </si>
  <si>
    <t xml:space="preserve">Choose reversion</t>
  </si>
  <si>
    <t xml:space="preserve">Other exposures</t>
  </si>
  <si>
    <t xml:space="preserve">Balance, paydown, loss rates</t>
  </si>
  <si>
    <t xml:space="preserve">Straight-line or immediate</t>
  </si>
  <si>
    <t xml:space="preserve">Commitments and AFS securities</t>
  </si>
  <si>
    <t xml:space="preserve">LIVE RESULTS</t>
  </si>
  <si>
    <t xml:space="preserve">Lifetime CECL</t>
  </si>
  <si>
    <t xml:space="preserve">Allowance % of pool</t>
  </si>
  <si>
    <t xml:space="preserve">Commitment liability</t>
  </si>
  <si>
    <t xml:space="preserve">AFS allowance</t>
  </si>
  <si>
    <t xml:space="preserve">COLOUR KEY</t>
  </si>
  <si>
    <t xml:space="preserve">You type here</t>
  </si>
  <si>
    <t xml:space="preserve">Calculated for you</t>
  </si>
  <si>
    <t xml:space="preserve">✓ Check passed</t>
  </si>
  <si>
    <t xml:space="preserve">✗ Needs attention</t>
  </si>
  <si>
    <t xml:space="preserve">JUMP TO</t>
  </si>
  <si>
    <t xml:space="preserve">Pool  ›</t>
  </si>
  <si>
    <t xml:space="preserve">Off-balance sheet  ›</t>
  </si>
  <si>
    <t xml:space="preserve">AFS security  ›</t>
  </si>
  <si>
    <t xml:space="preserve">Example: Northline Telecom, a fictional company, in CU million. Replace the figures with your own. General information, not advice. taxbakers.com/ifrs-18</t>
  </si>
  <si>
    <t xml:space="preserve">Pool</t>
  </si>
  <si>
    <t xml:space="preserve">Lifetime expected credit losses on a loan pool: forecast loss rates for the reasonable and supportable period, then reversion to historical loss rates. US$.</t>
  </si>
  <si>
    <t xml:space="preserve">Year</t>
  </si>
  <si>
    <t xml:space="preserve">Balance at start</t>
  </si>
  <si>
    <t xml:space="preserve">Loss rate</t>
  </si>
  <si>
    <t xml:space="preserve">Expected loss</t>
  </si>
  <si>
    <t xml:space="preserve">Pool balance (amortized cost)</t>
  </si>
  <si>
    <t xml:space="preserve">Remaining contractual life, years (1 to 10)</t>
  </si>
  <si>
    <t xml:space="preserve">Annual paydown, including expected prepayments</t>
  </si>
  <si>
    <t xml:space="preserve">Forecast annual loss rate, year 1</t>
  </si>
  <si>
    <t xml:space="preserve">Forecast annual loss rate, year 2</t>
  </si>
  <si>
    <t xml:space="preserve">Historical average annual loss rate</t>
  </si>
  <si>
    <t xml:space="preserve">Reversion method</t>
  </si>
  <si>
    <t xml:space="preserve">Straight-line</t>
  </si>
  <si>
    <t xml:space="preserve">Reversion period, years (straight-line only)</t>
  </si>
  <si>
    <t xml:space="preserve">Allowance as % of the pool</t>
  </si>
  <si>
    <t xml:space="preserve">Lifetime CECL with immediate reversion</t>
  </si>
  <si>
    <t xml:space="preserve">Lifetime CECL with straight-line reversion</t>
  </si>
  <si>
    <t xml:space="preserve">The loss-rate method applies annual loss rates to the expected balance each year, without discounting. ASC 326 allows any reasonable method; after the reasonable and supportable forecast period, the estimate reverts to historical loss information, immediately or on a systematic basis.</t>
  </si>
  <si>
    <t xml:space="preserve">Off-balance sheet</t>
  </si>
  <si>
    <t xml:space="preserve">A liability for expected credit losses on unfunded commitments that the lender cannot unconditionally cancel.</t>
  </si>
  <si>
    <t xml:space="preserve">Unfunded commitment</t>
  </si>
  <si>
    <t xml:space="preserve">Expected share to be drawn over the commitment's life</t>
  </si>
  <si>
    <t xml:space="preserve">Lifetime loss rate on funded amounts</t>
  </si>
  <si>
    <t xml:space="preserve">Can the lender unconditionally cancel the commitment?</t>
  </si>
  <si>
    <t xml:space="preserve">No</t>
  </si>
  <si>
    <t xml:space="preserve">Expected funded amount</t>
  </si>
  <si>
    <t xml:space="preserve">Liability for off-balance-sheet credit losses</t>
  </si>
  <si>
    <t xml:space="preserve">No reserve is recognized for commitments the lender can cancel unconditionally, such as most credit card lines. The liability is presented separately, not deducted from loans, with changes in credit loss expense.</t>
  </si>
  <si>
    <t xml:space="preserve">AFS security</t>
  </si>
  <si>
    <t xml:space="preserve">Available-for-sale debt securities (ASC 326-30): an allowance only when fair value is below amortized cost, for the credit-related part, limited to the shortfall.</t>
  </si>
  <si>
    <t xml:space="preserve">Amortized cost</t>
  </si>
  <si>
    <t xml:space="preserve">Fair value</t>
  </si>
  <si>
    <t xml:space="preserve">Present value of expected cash flows</t>
  </si>
  <si>
    <t xml:space="preserve">Intends to sell, or more likely than not required to sell?</t>
  </si>
  <si>
    <t xml:space="preserve">Unrealized loss (amortized cost less fair value)</t>
  </si>
  <si>
    <t xml:space="preserve">Credit loss: amortized cost less PV of expected cash flows</t>
  </si>
  <si>
    <t xml:space="preserve">Allowance for credit losses (limited to the unrealized loss)</t>
  </si>
  <si>
    <t xml:space="preserve">Write-down through earnings if selling</t>
  </si>
  <si>
    <t xml:space="preserve">Non-credit loss in other comprehensive income</t>
  </si>
</sst>
</file>

<file path=xl/styles.xml><?xml version="1.0" encoding="utf-8"?>
<styleSheet xmlns="http://schemas.openxmlformats.org/spreadsheetml/2006/main">
  <numFmts count="6">
    <numFmt numFmtId="164" formatCode="General"/>
    <numFmt numFmtId="165" formatCode="#,##0"/>
    <numFmt numFmtId="166" formatCode="0.00%"/>
    <numFmt numFmtId="167" formatCode="#,##0;\(#,##0\);;"/>
    <numFmt numFmtId="168" formatCode="0"/>
    <numFmt numFmtId="169" formatCode="0.0%;\(0.0%\);;"/>
  </numFmts>
  <fonts count="24">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6"/>
      <color rgb="FFFFFFFF"/>
      <name val="Arial"/>
      <family val="0"/>
      <charset val="1"/>
    </font>
    <font>
      <sz val="10"/>
      <color rgb="FFCFE0E3"/>
      <name val="Arial"/>
      <family val="0"/>
      <charset val="1"/>
    </font>
    <font>
      <b val="true"/>
      <sz val="10"/>
      <color rgb="FFFFFFFF"/>
      <name val="Arial"/>
      <family val="0"/>
      <charset val="1"/>
    </font>
    <font>
      <sz val="10"/>
      <color rgb="FF0000FF"/>
      <name val="Arial"/>
      <family val="0"/>
      <charset val="1"/>
    </font>
    <font>
      <sz val="10"/>
      <name val="Arial"/>
      <family val="0"/>
      <charset val="1"/>
    </font>
    <font>
      <b val="true"/>
      <sz val="10"/>
      <name val="Arial"/>
      <family val="0"/>
      <charset val="1"/>
    </font>
    <font>
      <sz val="10"/>
      <color rgb="FF0E3D4A"/>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5DBD8"/>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6" fontId="10" fillId="5" borderId="5" xfId="0" applyFont="true" applyBorder="true" applyAlignment="true" applyProtection="false">
      <alignment horizontal="center" vertical="center" textRotation="0" wrapText="true" indent="0" shrinkToFit="false"/>
      <protection locked="true" hidden="false"/>
    </xf>
    <xf numFmtId="164" fontId="11" fillId="6" borderId="0" xfId="0" applyFont="true" applyBorder="true" applyAlignment="true" applyProtection="false">
      <alignment horizontal="center" vertical="center" textRotation="0" wrapText="true" indent="0" shrinkToFit="false"/>
      <protection locked="true" hidden="false"/>
    </xf>
    <xf numFmtId="164" fontId="12" fillId="5" borderId="6" xfId="0" applyFont="true" applyBorder="true" applyAlignment="true" applyProtection="false">
      <alignment horizontal="center" vertical="center" textRotation="0" wrapText="true" indent="0" shrinkToFit="false"/>
      <protection locked="true" hidden="false"/>
    </xf>
    <xf numFmtId="164" fontId="13" fillId="7" borderId="0" xfId="0" applyFont="true" applyBorder="true" applyAlignment="true" applyProtection="false">
      <alignment horizontal="center" vertical="center" textRotation="0" wrapText="true" indent="0" shrinkToFit="false"/>
      <protection locked="true" hidden="false"/>
    </xf>
    <xf numFmtId="164" fontId="14" fillId="8" borderId="0" xfId="0" applyFont="true" applyBorder="true" applyAlignment="true" applyProtection="false">
      <alignment horizontal="center" vertical="center" textRotation="0" wrapText="true" indent="0" shrinkToFit="false"/>
      <protection locked="true" hidden="false"/>
    </xf>
    <xf numFmtId="164" fontId="15" fillId="3" borderId="7"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left" vertical="center" textRotation="0" wrapText="true" indent="1" shrinkToFit="false"/>
      <protection locked="true" hidden="false"/>
    </xf>
    <xf numFmtId="164" fontId="17" fillId="2" borderId="0" xfId="0" applyFont="true" applyBorder="true" applyAlignment="true" applyProtection="false">
      <alignment horizontal="left" vertical="center" textRotation="0" wrapText="true" indent="1" shrinkToFit="false"/>
      <protection locked="true" hidden="false"/>
    </xf>
    <xf numFmtId="164" fontId="18" fillId="2"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false" applyAlignment="true" applyProtection="false">
      <alignment horizontal="left" vertical="center" textRotation="0" wrapText="true" indent="1" shrinkToFit="false"/>
      <protection locked="true" hidden="false"/>
    </xf>
    <xf numFmtId="164" fontId="19" fillId="2" borderId="0" xfId="0" applyFont="true" applyBorder="fals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left" vertical="center" textRotation="0" wrapText="true" indent="1" shrinkToFit="false"/>
      <protection locked="true" hidden="false"/>
    </xf>
    <xf numFmtId="167" fontId="20" fillId="6" borderId="8" xfId="0" applyFont="true" applyBorder="true" applyAlignment="false" applyProtection="false">
      <alignment horizontal="general" vertical="bottom" textRotation="0" wrapText="false" indent="0" shrinkToFit="false"/>
      <protection locked="true" hidden="false"/>
    </xf>
    <xf numFmtId="164" fontId="12" fillId="0" borderId="8" xfId="0" applyFont="true" applyBorder="true" applyAlignment="true" applyProtection="false">
      <alignment horizontal="center" vertical="bottom" textRotation="0" wrapText="false" indent="0" shrinkToFit="false"/>
      <protection locked="true" hidden="false"/>
    </xf>
    <xf numFmtId="167" fontId="21" fillId="0" borderId="8" xfId="0" applyFont="true" applyBorder="true" applyAlignment="false" applyProtection="false">
      <alignment horizontal="general" vertical="bottom" textRotation="0" wrapText="false" indent="0" shrinkToFit="false"/>
      <protection locked="true" hidden="false"/>
    </xf>
    <xf numFmtId="166" fontId="21" fillId="0" borderId="8" xfId="0" applyFont="true" applyBorder="true" applyAlignment="false" applyProtection="false">
      <alignment horizontal="general" vertical="bottom" textRotation="0" wrapText="false" indent="0" shrinkToFit="false"/>
      <protection locked="true" hidden="false"/>
    </xf>
    <xf numFmtId="167" fontId="22" fillId="0" borderId="8" xfId="0" applyFont="true" applyBorder="true" applyAlignment="false" applyProtection="false">
      <alignment horizontal="general" vertical="bottom" textRotation="0" wrapText="false" indent="0" shrinkToFit="false"/>
      <protection locked="true" hidden="false"/>
    </xf>
    <xf numFmtId="168" fontId="20" fillId="6" borderId="8" xfId="0" applyFont="true" applyBorder="true" applyAlignment="false" applyProtection="false">
      <alignment horizontal="general" vertical="bottom" textRotation="0" wrapText="false" indent="0" shrinkToFit="false"/>
      <protection locked="true" hidden="false"/>
    </xf>
    <xf numFmtId="169" fontId="20" fillId="6" borderId="8" xfId="0" applyFont="true" applyBorder="true" applyAlignment="false" applyProtection="false">
      <alignment horizontal="general" vertical="bottom" textRotation="0" wrapText="false" indent="0" shrinkToFit="false"/>
      <protection locked="true" hidden="false"/>
    </xf>
    <xf numFmtId="166" fontId="20" fillId="6" borderId="8" xfId="0" applyFont="true" applyBorder="true" applyAlignment="false" applyProtection="false">
      <alignment horizontal="general" vertical="bottom" textRotation="0" wrapText="false" indent="0" shrinkToFit="false"/>
      <protection locked="true" hidden="false"/>
    </xf>
    <xf numFmtId="164" fontId="20" fillId="6" borderId="8" xfId="0" applyFont="true" applyBorder="true" applyAlignment="true" applyProtection="false">
      <alignment horizontal="right" vertical="bottom" textRotation="0" wrapText="false" indent="0" shrinkToFit="false"/>
      <protection locked="true" hidden="false"/>
    </xf>
    <xf numFmtId="166" fontId="22" fillId="0" borderId="8" xfId="0" applyFont="true" applyBorder="true" applyAlignment="false" applyProtection="false">
      <alignment horizontal="general" vertical="bottom" textRotation="0" wrapText="false" indent="0" shrinkToFit="false"/>
      <protection locked="true" hidden="false"/>
    </xf>
    <xf numFmtId="167" fontId="19"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23" fillId="0" borderId="0" xfId="0" applyFont="true" applyBorder="false" applyAlignment="true" applyProtection="false">
      <alignment horizontal="left" vertical="center"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C0C0C0"/>
      <rgbColor rgb="FF6B7A80"/>
      <rgbColor rgb="FF9999FF"/>
      <rgbColor rgb="FF993366"/>
      <rgbColor rgb="FFFFF4C2"/>
      <rgbColor rgb="FFF3F5F0"/>
      <rgbColor rgb="FF660066"/>
      <rgbColor rgb="FFFF8080"/>
      <rgbColor rgb="FF0066CC"/>
      <rgbColor rgb="FFD5DBD8"/>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66699"/>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Pool!E19</f>
        <v>1532480</v>
      </c>
      <c r="C15" s="10"/>
      <c r="D15" s="10"/>
      <c r="E15" s="11" t="n">
        <f aca="false">Pool!H16</f>
        <v>0.0306496</v>
      </c>
      <c r="F15" s="11"/>
      <c r="G15" s="11"/>
      <c r="H15" s="10" t="n">
        <f aca="false">'Off-balance sheet'!C13</f>
        <v>80000</v>
      </c>
      <c r="I15" s="10"/>
      <c r="J15" s="10"/>
      <c r="K15" s="10" t="n">
        <f aca="false">'AFS security'!C14</f>
        <v>50000</v>
      </c>
      <c r="L15" s="10"/>
      <c r="M15" s="10"/>
    </row>
    <row r="16" customFormat="false" ht="21.75" hidden="false" customHeight="true" outlineLevel="0" collapsed="false">
      <c r="B16" s="10"/>
      <c r="C16" s="10"/>
      <c r="D16" s="10"/>
      <c r="E16" s="11"/>
      <c r="F16" s="11"/>
      <c r="G16" s="11"/>
      <c r="H16" s="10"/>
      <c r="I16" s="10"/>
      <c r="J16" s="10"/>
      <c r="K16" s="10"/>
      <c r="L16" s="10"/>
      <c r="M16" s="10"/>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23</v>
      </c>
      <c r="C41" s="17"/>
      <c r="D41" s="17"/>
      <c r="E41" s="17"/>
      <c r="F41" s="17"/>
      <c r="G41" s="17"/>
      <c r="H41" s="17"/>
      <c r="I41" s="17"/>
      <c r="J41" s="17"/>
      <c r="K41" s="17"/>
      <c r="L41" s="17"/>
      <c r="M41" s="17"/>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hyperlinks>
    <hyperlink ref="B22" location="'Pool'!B2" display="Pool  ›"/>
    <hyperlink ref="E22" location="'Off-balance sheet'!B2" display="Off-balance sheet  ›"/>
    <hyperlink ref="H22" location="'AFS security'!B2" display="AFS security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8"/>
    <col collapsed="false" customWidth="true" hidden="false" outlineLevel="0" max="3" min="3" style="0" width="17"/>
    <col collapsed="false" customWidth="true" hidden="false" outlineLevel="0" max="4" min="4" style="0" width="13"/>
    <col collapsed="false" customWidth="true" hidden="false" outlineLevel="0" max="5" min="5" style="0" width="15"/>
    <col collapsed="false" customWidth="true" hidden="false" outlineLevel="0" max="6" min="6" style="0" width="4"/>
    <col collapsed="false" customWidth="true" hidden="false" outlineLevel="0" max="7" min="7" style="0" width="52"/>
    <col collapsed="false" customWidth="true" hidden="false" outlineLevel="0" max="8" min="8" style="0" width="17"/>
  </cols>
  <sheetData>
    <row r="1" customFormat="false" ht="18" hidden="false" customHeight="false" outlineLevel="0" collapsed="false"/>
    <row r="2" customFormat="false" ht="19.5" hidden="false" customHeight="true" outlineLevel="0" collapsed="false">
      <c r="B2" s="18" t="s">
        <v>24</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25</v>
      </c>
      <c r="C4" s="19"/>
      <c r="D4" s="19"/>
      <c r="E4" s="19"/>
      <c r="F4" s="19"/>
      <c r="G4" s="19"/>
      <c r="H4" s="19"/>
    </row>
    <row r="5" customFormat="false" ht="3.75" hidden="false" customHeight="true" outlineLevel="0" collapsed="false">
      <c r="B5" s="4"/>
      <c r="C5" s="4"/>
      <c r="D5" s="4"/>
      <c r="E5" s="4"/>
      <c r="F5" s="4"/>
      <c r="G5" s="4"/>
      <c r="H5" s="4"/>
    </row>
    <row r="6" customFormat="false" ht="18" hidden="false" customHeight="false" outlineLevel="0" collapsed="false"/>
    <row r="7" customFormat="false" ht="33.75" hidden="false" customHeight="true" outlineLevel="0" collapsed="false">
      <c r="B7" s="20" t="s">
        <v>26</v>
      </c>
      <c r="C7" s="21" t="s">
        <v>27</v>
      </c>
      <c r="D7" s="21" t="s">
        <v>28</v>
      </c>
      <c r="E7" s="21" t="s">
        <v>29</v>
      </c>
      <c r="G7" s="22" t="s">
        <v>30</v>
      </c>
      <c r="H7" s="23" t="n">
        <v>50000000</v>
      </c>
    </row>
    <row r="8" customFormat="false" ht="18" hidden="false" customHeight="false" outlineLevel="0" collapsed="false">
      <c r="B8" s="24" t="n">
        <v>1</v>
      </c>
      <c r="C8" s="25" t="n">
        <f aca="false">IF(1&lt;=$H$8,$H$7*(1-$H$9)^(B8-1),0)</f>
        <v>50000000</v>
      </c>
      <c r="D8" s="26" t="n">
        <f aca="false">IF(NOT(1&lt;=$H$8),0,IF(B8=1,$H$10,IF(B8=2,$H$11,IF(OR($H$13="Immediate",B8&gt;2+$H$14),$H$12,$H$11+($H$12-$H$11)*(B8-2)/($H$14+1)))))</f>
        <v>0.012</v>
      </c>
      <c r="E8" s="27" t="n">
        <f aca="false">C8*D8</f>
        <v>600000</v>
      </c>
      <c r="G8" s="22" t="s">
        <v>31</v>
      </c>
      <c r="H8" s="28" t="n">
        <v>5</v>
      </c>
    </row>
    <row r="9" customFormat="false" ht="18" hidden="false" customHeight="false" outlineLevel="0" collapsed="false">
      <c r="B9" s="24" t="n">
        <v>2</v>
      </c>
      <c r="C9" s="25" t="n">
        <f aca="false">IF(2&lt;=$H$8,$H$7*(1-$H$9)^(B9-1),0)</f>
        <v>40000000</v>
      </c>
      <c r="D9" s="26" t="n">
        <f aca="false">IF(NOT(2&lt;=$H$8),0,IF(B9=1,$H$10,IF(B9=2,$H$11,IF(OR($H$13="Immediate",B9&gt;2+$H$14),$H$12,$H$11+($H$12-$H$11)*(B9-2)/($H$14+1)))))</f>
        <v>0.01</v>
      </c>
      <c r="E9" s="27" t="n">
        <f aca="false">C9*D9</f>
        <v>400000</v>
      </c>
      <c r="G9" s="22" t="s">
        <v>32</v>
      </c>
      <c r="H9" s="29" t="n">
        <v>0.2</v>
      </c>
    </row>
    <row r="10" customFormat="false" ht="18" hidden="false" customHeight="false" outlineLevel="0" collapsed="false">
      <c r="B10" s="24" t="n">
        <v>3</v>
      </c>
      <c r="C10" s="25" t="n">
        <f aca="false">IF(3&lt;=$H$8,$H$7*(1-$H$9)^(B10-1),0)</f>
        <v>32000000</v>
      </c>
      <c r="D10" s="26" t="n">
        <f aca="false">IF(NOT(3&lt;=$H$8),0,IF(B10=1,$H$10,IF(B10=2,$H$11,IF(OR($H$13="Immediate",B10&gt;2+$H$14),$H$12,$H$11+($H$12-$H$11)*(B10-2)/($H$14+1)))))</f>
        <v>0.008</v>
      </c>
      <c r="E10" s="27" t="n">
        <f aca="false">C10*D10</f>
        <v>256000</v>
      </c>
      <c r="G10" s="22" t="s">
        <v>33</v>
      </c>
      <c r="H10" s="30" t="n">
        <v>0.012</v>
      </c>
    </row>
    <row r="11" customFormat="false" ht="18" hidden="false" customHeight="false" outlineLevel="0" collapsed="false">
      <c r="B11" s="24" t="n">
        <v>4</v>
      </c>
      <c r="C11" s="25" t="n">
        <f aca="false">IF(4&lt;=$H$8,$H$7*(1-$H$9)^(B11-1),0)</f>
        <v>25600000</v>
      </c>
      <c r="D11" s="26" t="n">
        <f aca="false">IF(NOT(4&lt;=$H$8),0,IF(B11=1,$H$10,IF(B11=2,$H$11,IF(OR($H$13="Immediate",B11&gt;2+$H$14),$H$12,$H$11+($H$12-$H$11)*(B11-2)/($H$14+1)))))</f>
        <v>0.006</v>
      </c>
      <c r="E11" s="27" t="n">
        <f aca="false">C11*D11</f>
        <v>153600</v>
      </c>
      <c r="G11" s="22" t="s">
        <v>34</v>
      </c>
      <c r="H11" s="30" t="n">
        <v>0.01</v>
      </c>
    </row>
    <row r="12" customFormat="false" ht="18" hidden="false" customHeight="false" outlineLevel="0" collapsed="false">
      <c r="B12" s="24" t="n">
        <v>5</v>
      </c>
      <c r="C12" s="25" t="n">
        <f aca="false">IF(5&lt;=$H$8,$H$7*(1-$H$9)^(B12-1),0)</f>
        <v>20480000</v>
      </c>
      <c r="D12" s="26" t="n">
        <f aca="false">IF(NOT(5&lt;=$H$8),0,IF(B12=1,$H$10,IF(B12=2,$H$11,IF(OR($H$13="Immediate",B12&gt;2+$H$14),$H$12,$H$11+($H$12-$H$11)*(B12-2)/($H$14+1)))))</f>
        <v>0.006</v>
      </c>
      <c r="E12" s="27" t="n">
        <f aca="false">C12*D12</f>
        <v>122880</v>
      </c>
      <c r="G12" s="22" t="s">
        <v>35</v>
      </c>
      <c r="H12" s="30" t="n">
        <v>0.006</v>
      </c>
    </row>
    <row r="13" customFormat="false" ht="18" hidden="false" customHeight="false" outlineLevel="0" collapsed="false">
      <c r="B13" s="24" t="n">
        <v>6</v>
      </c>
      <c r="C13" s="25" t="n">
        <f aca="false">IF(6&lt;=$H$8,$H$7*(1-$H$9)^(B13-1),0)</f>
        <v>0</v>
      </c>
      <c r="D13" s="26" t="n">
        <f aca="false">IF(NOT(6&lt;=$H$8),0,IF(B13=1,$H$10,IF(B13=2,$H$11,IF(OR($H$13="Immediate",B13&gt;2+$H$14),$H$12,$H$11+($H$12-$H$11)*(B13-2)/($H$14+1)))))</f>
        <v>0</v>
      </c>
      <c r="E13" s="27" t="n">
        <f aca="false">C13*D13</f>
        <v>0</v>
      </c>
      <c r="G13" s="22" t="s">
        <v>36</v>
      </c>
      <c r="H13" s="31" t="s">
        <v>37</v>
      </c>
    </row>
    <row r="14" customFormat="false" ht="18" hidden="false" customHeight="false" outlineLevel="0" collapsed="false">
      <c r="B14" s="24" t="n">
        <v>7</v>
      </c>
      <c r="C14" s="25" t="n">
        <f aca="false">IF(7&lt;=$H$8,$H$7*(1-$H$9)^(B14-1),0)</f>
        <v>0</v>
      </c>
      <c r="D14" s="26" t="n">
        <f aca="false">IF(NOT(7&lt;=$H$8),0,IF(B14=1,$H$10,IF(B14=2,$H$11,IF(OR($H$13="Immediate",B14&gt;2+$H$14),$H$12,$H$11+($H$12-$H$11)*(B14-2)/($H$14+1)))))</f>
        <v>0</v>
      </c>
      <c r="E14" s="27" t="n">
        <f aca="false">C14*D14</f>
        <v>0</v>
      </c>
      <c r="G14" s="22" t="s">
        <v>38</v>
      </c>
      <c r="H14" s="28" t="n">
        <v>1</v>
      </c>
    </row>
    <row r="15" customFormat="false" ht="18" hidden="false" customHeight="false" outlineLevel="0" collapsed="false">
      <c r="B15" s="24" t="n">
        <v>8</v>
      </c>
      <c r="C15" s="25" t="n">
        <f aca="false">IF(8&lt;=$H$8,$H$7*(1-$H$9)^(B15-1),0)</f>
        <v>0</v>
      </c>
      <c r="D15" s="26" t="n">
        <f aca="false">IF(NOT(8&lt;=$H$8),0,IF(B15=1,$H$10,IF(B15=2,$H$11,IF(OR($H$13="Immediate",B15&gt;2+$H$14),$H$12,$H$11+($H$12-$H$11)*(B15-2)/($H$14+1)))))</f>
        <v>0</v>
      </c>
      <c r="E15" s="27" t="n">
        <f aca="false">C15*D15</f>
        <v>0</v>
      </c>
    </row>
    <row r="16" customFormat="false" ht="18" hidden="false" customHeight="false" outlineLevel="0" collapsed="false">
      <c r="B16" s="24" t="n">
        <v>9</v>
      </c>
      <c r="C16" s="25" t="n">
        <f aca="false">IF(9&lt;=$H$8,$H$7*(1-$H$9)^(B16-1),0)</f>
        <v>0</v>
      </c>
      <c r="D16" s="26" t="n">
        <f aca="false">IF(NOT(9&lt;=$H$8),0,IF(B16=1,$H$10,IF(B16=2,$H$11,IF(OR($H$13="Immediate",B16&gt;2+$H$14),$H$12,$H$11+($H$12-$H$11)*(B16-2)/($H$14+1)))))</f>
        <v>0</v>
      </c>
      <c r="E16" s="27" t="n">
        <f aca="false">C16*D16</f>
        <v>0</v>
      </c>
      <c r="G16" s="22" t="s">
        <v>39</v>
      </c>
      <c r="H16" s="32" t="n">
        <f aca="false">IF(H7=0,0,E19/H7)</f>
        <v>0.0306496</v>
      </c>
    </row>
    <row r="17" customFormat="false" ht="18" hidden="false" customHeight="false" outlineLevel="0" collapsed="false">
      <c r="B17" s="24" t="n">
        <v>10</v>
      </c>
      <c r="C17" s="25" t="n">
        <f aca="false">IF(10&lt;=$H$8,$H$7*(1-$H$9)^(B17-1),0)</f>
        <v>0</v>
      </c>
      <c r="D17" s="26" t="n">
        <f aca="false">IF(NOT(10&lt;=$H$8),0,IF(B17=1,$H$10,IF(B17=2,$H$11,IF(OR($H$13="Immediate",B17&gt;2+$H$14),$H$12,$H$11+($H$12-$H$11)*(B17-2)/($H$14+1)))))</f>
        <v>0</v>
      </c>
      <c r="E17" s="27" t="n">
        <f aca="false">C17*D17</f>
        <v>0</v>
      </c>
      <c r="G17" s="22" t="s">
        <v>40</v>
      </c>
      <c r="H17" s="25" t="n">
        <f aca="false">IF(1&lt;=$H$8,$H$7*(1-$H$9)^0*IF(1=1,$H$10,IF(1=2,$H$11,$H$12)),0)+IF(2&lt;=$H$8,$H$7*(1-$H$9)^1*IF(2=1,$H$10,IF(2=2,$H$11,$H$12)),0)+IF(3&lt;=$H$8,$H$7*(1-$H$9)^2*IF(3=1,$H$10,IF(3=2,$H$11,$H$12)),0)+IF(4&lt;=$H$8,$H$7*(1-$H$9)^3*IF(4=1,$H$10,IF(4=2,$H$11,$H$12)),0)+IF(5&lt;=$H$8,$H$7*(1-$H$9)^4*IF(5=1,$H$10,IF(5=2,$H$11,$H$12)),0)+IF(6&lt;=$H$8,$H$7*(1-$H$9)^5*IF(6=1,$H$10,IF(6=2,$H$11,$H$12)),0)+IF(7&lt;=$H$8,$H$7*(1-$H$9)^6*IF(7=1,$H$10,IF(7=2,$H$11,$H$12)),0)+IF(8&lt;=$H$8,$H$7*(1-$H$9)^7*IF(8=1,$H$10,IF(8=2,$H$11,$H$12)),0)+IF(9&lt;=$H$8,$H$7*(1-$H$9)^8*IF(9=1,$H$10,IF(9=2,$H$11,$H$12)),0)+IF(10&lt;=$H$8,$H$7*(1-$H$9)^9*IF(10=1,$H$10,IF(10=2,$H$11,$H$12)),0)</f>
        <v>1468480</v>
      </c>
    </row>
    <row r="18" customFormat="false" ht="18" hidden="false" customHeight="false" outlineLevel="0" collapsed="false">
      <c r="G18" s="22" t="s">
        <v>41</v>
      </c>
      <c r="H18" s="25" t="n">
        <f aca="false">IF(1&lt;=$H$8,$H$7*(1-$H$9)^0*IF(1=1,$H$10,IF(1=2,$H$11,IF(1&gt;2+$H$14,$H$12,$H$11+($H$12-$H$11)*(1-2)/($H$14+1)))),0)+IF(2&lt;=$H$8,$H$7*(1-$H$9)^1*IF(2=1,$H$10,IF(2=2,$H$11,IF(2&gt;2+$H$14,$H$12,$H$11+($H$12-$H$11)*(2-2)/($H$14+1)))),0)+IF(3&lt;=$H$8,$H$7*(1-$H$9)^2*IF(3=1,$H$10,IF(3=2,$H$11,IF(3&gt;2+$H$14,$H$12,$H$11+($H$12-$H$11)*(3-2)/($H$14+1)))),0)+IF(4&lt;=$H$8,$H$7*(1-$H$9)^3*IF(4=1,$H$10,IF(4=2,$H$11,IF(4&gt;2+$H$14,$H$12,$H$11+($H$12-$H$11)*(4-2)/($H$14+1)))),0)+IF(5&lt;=$H$8,$H$7*(1-$H$9)^4*IF(5=1,$H$10,IF(5=2,$H$11,IF(5&gt;2+$H$14,$H$12,$H$11+($H$12-$H$11)*(5-2)/($H$14+1)))),0)+IF(6&lt;=$H$8,$H$7*(1-$H$9)^5*IF(6=1,$H$10,IF(6=2,$H$11,IF(6&gt;2+$H$14,$H$12,$H$11+($H$12-$H$11)*(6-2)/($H$14+1)))),0)+IF(7&lt;=$H$8,$H$7*(1-$H$9)^6*IF(7=1,$H$10,IF(7=2,$H$11,IF(7&gt;2+$H$14,$H$12,$H$11+($H$12-$H$11)*(7-2)/($H$14+1)))),0)+IF(8&lt;=$H$8,$H$7*(1-$H$9)^7*IF(8=1,$H$10,IF(8=2,$H$11,IF(8&gt;2+$H$14,$H$12,$H$11+($H$12-$H$11)*(8-2)/($H$14+1)))),0)+IF(9&lt;=$H$8,$H$7*(1-$H$9)^8*IF(9=1,$H$10,IF(9=2,$H$11,IF(9&gt;2+$H$14,$H$12,$H$11+($H$12-$H$11)*(9-2)/($H$14+1)))),0)+IF(10&lt;=$H$8,$H$7*(1-$H$9)^9*IF(10=1,$H$10,IF(10=2,$H$11,IF(10&gt;2+$H$14,$H$12,$H$11+($H$12-$H$11)*(10-2)/($H$14+1)))),0)</f>
        <v>1532480</v>
      </c>
    </row>
    <row r="19" customFormat="false" ht="35.05" hidden="false" customHeight="false" outlineLevel="0" collapsed="false">
      <c r="B19" s="20" t="s">
        <v>10</v>
      </c>
      <c r="C19" s="3"/>
      <c r="D19" s="3"/>
      <c r="E19" s="33" t="n">
        <f aca="false">SUM(E8:E17)</f>
        <v>1532480</v>
      </c>
    </row>
    <row r="20" customFormat="false" ht="18" hidden="false" customHeight="false" outlineLevel="0" collapsed="false"/>
    <row r="21" customFormat="false" ht="18" hidden="false" customHeight="true" outlineLevel="0" collapsed="false">
      <c r="B21" s="34" t="s">
        <v>42</v>
      </c>
      <c r="C21" s="34"/>
      <c r="D21" s="34"/>
      <c r="E21" s="34"/>
      <c r="F21" s="34"/>
      <c r="G21" s="34"/>
      <c r="H21" s="34"/>
    </row>
    <row r="22" customFormat="false" ht="18" hidden="false" customHeight="false" outlineLevel="0" collapsed="false">
      <c r="B22" s="34"/>
      <c r="C22" s="34"/>
      <c r="D22" s="34"/>
      <c r="E22" s="34"/>
      <c r="F22" s="34"/>
      <c r="G22" s="34"/>
      <c r="H22" s="34"/>
    </row>
    <row r="23" customFormat="false" ht="18" hidden="false" customHeight="false" outlineLevel="0" collapsed="false">
      <c r="B23" s="34"/>
      <c r="C23" s="34"/>
      <c r="D23" s="34"/>
      <c r="E23" s="34"/>
      <c r="F23" s="34"/>
      <c r="G23" s="34"/>
      <c r="H23" s="34"/>
    </row>
  </sheetData>
  <mergeCells count="3">
    <mergeCell ref="B2:H3"/>
    <mergeCell ref="B4:H4"/>
    <mergeCell ref="B21:H23"/>
  </mergeCells>
  <dataValidations count="1">
    <dataValidation allowBlank="false" errorStyle="stop" operator="between" showDropDown="false" showErrorMessage="false" showInputMessage="false" sqref="H13" type="list">
      <formula1>"Straight-line,Immediate"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6"/>
    <col collapsed="false" customWidth="true" hidden="false" outlineLevel="0" max="3" min="3" style="0" width="17"/>
  </cols>
  <sheetData>
    <row r="1" customFormat="false" ht="18" hidden="false" customHeight="false" outlineLevel="0" collapsed="false"/>
    <row r="2" customFormat="false" ht="19.5" hidden="false" customHeight="true" outlineLevel="0" collapsed="false">
      <c r="B2" s="18" t="s">
        <v>43</v>
      </c>
      <c r="C2" s="18"/>
    </row>
    <row r="3" customFormat="false" ht="19.5" hidden="false" customHeight="true" outlineLevel="0" collapsed="false">
      <c r="B3" s="18"/>
      <c r="C3" s="18"/>
    </row>
    <row r="4" customFormat="false" ht="19.5" hidden="false" customHeight="true" outlineLevel="0" collapsed="false">
      <c r="B4" s="19" t="s">
        <v>44</v>
      </c>
      <c r="C4" s="19"/>
    </row>
    <row r="5" customFormat="false" ht="3.75" hidden="false" customHeight="true" outlineLevel="0" collapsed="false">
      <c r="B5" s="4"/>
      <c r="C5" s="4"/>
    </row>
    <row r="6" customFormat="false" ht="18" hidden="false" customHeight="false" outlineLevel="0" collapsed="false"/>
    <row r="7" customFormat="false" ht="18" hidden="false" customHeight="false" outlineLevel="0" collapsed="false">
      <c r="B7" s="22" t="s">
        <v>45</v>
      </c>
      <c r="C7" s="23" t="n">
        <v>10000000</v>
      </c>
    </row>
    <row r="8" customFormat="false" ht="18" hidden="false" customHeight="false" outlineLevel="0" collapsed="false">
      <c r="B8" s="22" t="s">
        <v>46</v>
      </c>
      <c r="C8" s="29" t="n">
        <v>0.4</v>
      </c>
    </row>
    <row r="9" customFormat="false" ht="18" hidden="false" customHeight="false" outlineLevel="0" collapsed="false">
      <c r="B9" s="22" t="s">
        <v>47</v>
      </c>
      <c r="C9" s="30" t="n">
        <v>0.02</v>
      </c>
    </row>
    <row r="10" customFormat="false" ht="18" hidden="false" customHeight="false" outlineLevel="0" collapsed="false">
      <c r="B10" s="22" t="s">
        <v>48</v>
      </c>
      <c r="C10" s="31" t="s">
        <v>49</v>
      </c>
    </row>
    <row r="11" customFormat="false" ht="18" hidden="false" customHeight="false" outlineLevel="0" collapsed="false"/>
    <row r="12" customFormat="false" ht="18" hidden="false" customHeight="false" outlineLevel="0" collapsed="false">
      <c r="B12" s="35" t="s">
        <v>50</v>
      </c>
      <c r="C12" s="25" t="n">
        <f aca="false">C7*C8</f>
        <v>4000000</v>
      </c>
    </row>
    <row r="13" customFormat="false" ht="18" hidden="false" customHeight="false" outlineLevel="0" collapsed="false">
      <c r="B13" s="22" t="s">
        <v>51</v>
      </c>
      <c r="C13" s="27" t="n">
        <f aca="false">IF(C10="Yes",0,C12*C9)</f>
        <v>80000</v>
      </c>
    </row>
    <row r="14" customFormat="false" ht="18" hidden="false" customHeight="false" outlineLevel="0" collapsed="false"/>
    <row r="15" customFormat="false" ht="18" hidden="false" customHeight="true" outlineLevel="0" collapsed="false">
      <c r="B15" s="34" t="s">
        <v>52</v>
      </c>
      <c r="C15" s="34"/>
    </row>
    <row r="16" customFormat="false" ht="18" hidden="false" customHeight="false" outlineLevel="0" collapsed="false">
      <c r="B16" s="34"/>
      <c r="C16" s="34"/>
    </row>
    <row r="17" customFormat="false" ht="18" hidden="false" customHeight="false" outlineLevel="0" collapsed="false">
      <c r="B17" s="34"/>
      <c r="C17" s="34"/>
    </row>
  </sheetData>
  <mergeCells count="3">
    <mergeCell ref="B2:C3"/>
    <mergeCell ref="B4:C4"/>
    <mergeCell ref="B15:C17"/>
  </mergeCells>
  <dataValidations count="1">
    <dataValidation allowBlank="false" errorStyle="stop" operator="between" showDropDown="false" showErrorMessage="false" showInputMessage="false" sqref="C1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6"/>
    <col collapsed="false" customWidth="true" hidden="false" outlineLevel="0" max="3" min="3" style="0" width="17"/>
  </cols>
  <sheetData>
    <row r="1" customFormat="false" ht="18" hidden="false" customHeight="false" outlineLevel="0" collapsed="false"/>
    <row r="2" customFormat="false" ht="19.5" hidden="false" customHeight="true" outlineLevel="0" collapsed="false">
      <c r="B2" s="18" t="s">
        <v>53</v>
      </c>
      <c r="C2" s="18"/>
    </row>
    <row r="3" customFormat="false" ht="19.5" hidden="false" customHeight="true" outlineLevel="0" collapsed="false">
      <c r="B3" s="18"/>
      <c r="C3" s="18"/>
    </row>
    <row r="4" customFormat="false" ht="19.5" hidden="false" customHeight="true" outlineLevel="0" collapsed="false">
      <c r="B4" s="19" t="s">
        <v>54</v>
      </c>
      <c r="C4" s="19"/>
    </row>
    <row r="5" customFormat="false" ht="3.75" hidden="false" customHeight="true" outlineLevel="0" collapsed="false">
      <c r="B5" s="4"/>
      <c r="C5" s="4"/>
    </row>
    <row r="6" customFormat="false" ht="18" hidden="false" customHeight="false" outlineLevel="0" collapsed="false"/>
    <row r="7" customFormat="false" ht="18" hidden="false" customHeight="false" outlineLevel="0" collapsed="false">
      <c r="B7" s="22" t="s">
        <v>55</v>
      </c>
      <c r="C7" s="23" t="n">
        <v>1000000</v>
      </c>
    </row>
    <row r="8" customFormat="false" ht="18" hidden="false" customHeight="false" outlineLevel="0" collapsed="false">
      <c r="B8" s="22" t="s">
        <v>56</v>
      </c>
      <c r="C8" s="23" t="n">
        <v>920000</v>
      </c>
    </row>
    <row r="9" customFormat="false" ht="18" hidden="false" customHeight="false" outlineLevel="0" collapsed="false">
      <c r="B9" s="22" t="s">
        <v>57</v>
      </c>
      <c r="C9" s="23" t="n">
        <v>950000</v>
      </c>
    </row>
    <row r="10" customFormat="false" ht="18" hidden="false" customHeight="false" outlineLevel="0" collapsed="false">
      <c r="B10" s="22" t="s">
        <v>58</v>
      </c>
      <c r="C10" s="31" t="s">
        <v>49</v>
      </c>
    </row>
    <row r="11" customFormat="false" ht="18" hidden="false" customHeight="false" outlineLevel="0" collapsed="false"/>
    <row r="12" customFormat="false" ht="18" hidden="false" customHeight="false" outlineLevel="0" collapsed="false">
      <c r="B12" s="35" t="s">
        <v>59</v>
      </c>
      <c r="C12" s="25" t="n">
        <f aca="false">MAX(0,C7-C8)</f>
        <v>80000</v>
      </c>
    </row>
    <row r="13" customFormat="false" ht="18" hidden="false" customHeight="false" outlineLevel="0" collapsed="false">
      <c r="B13" s="35" t="s">
        <v>60</v>
      </c>
      <c r="C13" s="25" t="n">
        <f aca="false">MAX(0,C7-C9)</f>
        <v>50000</v>
      </c>
    </row>
    <row r="14" customFormat="false" ht="18" hidden="false" customHeight="false" outlineLevel="0" collapsed="false">
      <c r="B14" s="22" t="s">
        <v>61</v>
      </c>
      <c r="C14" s="27" t="n">
        <f aca="false">IF(C10="Yes",0,MIN(C12,C13))</f>
        <v>50000</v>
      </c>
    </row>
    <row r="15" customFormat="false" ht="18" hidden="false" customHeight="false" outlineLevel="0" collapsed="false">
      <c r="B15" s="35" t="s">
        <v>62</v>
      </c>
      <c r="C15" s="25" t="n">
        <f aca="false">IF(C10="Yes",C12,0)</f>
        <v>0</v>
      </c>
    </row>
    <row r="16" customFormat="false" ht="18" hidden="false" customHeight="false" outlineLevel="0" collapsed="false">
      <c r="B16" s="22" t="s">
        <v>63</v>
      </c>
      <c r="C16" s="27" t="n">
        <f aca="false">IF(C10="Yes",0,C12-C14)</f>
        <v>30000</v>
      </c>
    </row>
  </sheetData>
  <mergeCells count="2">
    <mergeCell ref="B2:C3"/>
    <mergeCell ref="B4:C4"/>
  </mergeCells>
  <dataValidations count="1">
    <dataValidation allowBlank="false" errorStyle="stop" operator="between" showDropDown="false" showErrorMessage="false" showInputMessage="false" sqref="C1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2026-10-04T19:13:00Z</dcterms:created>
  <dc:creator>openpyxl</dc:creator>
  <dc:description/>
  <dc:language>en-US</dc:language>
  <cp:lastModifiedBy/>
  <dcterms:modified xsi:type="dcterms:W3CDTF">2026-10-04T19:13:00Z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